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6.三水科达\11.一期钢结构工程\"/>
    </mc:Choice>
  </mc:AlternateContent>
  <bookViews>
    <workbookView xWindow="0" yWindow="0" windowWidth="23040" windowHeight="9420" activeTab="7"/>
  </bookViews>
  <sheets>
    <sheet name="合计" sheetId="4" r:id="rId1"/>
    <sheet name="车间2" sheetId="7" r:id="rId2"/>
    <sheet name="车间3" sheetId="5" r:id="rId3"/>
    <sheet name="车间3门窗" sheetId="6" state="hidden" r:id="rId4"/>
    <sheet name="车间4" sheetId="2" r:id="rId5"/>
    <sheet name="研发车间" sheetId="10" r:id="rId6"/>
    <sheet name="独立辅房" sheetId="8" r:id="rId7"/>
    <sheet name="门卫" sheetId="11" r:id="rId8"/>
  </sheets>
  <definedNames>
    <definedName name="_xlnm.Print_Area" localSheetId="1">车间2!$A$1:$L$47</definedName>
    <definedName name="_xlnm.Print_Area" localSheetId="2">车间3!$A$1:$L$46</definedName>
    <definedName name="_xlnm.Print_Area" localSheetId="4">车间4!$A$1:$L$56</definedName>
    <definedName name="_xlnm.Print_Area" localSheetId="6">独立辅房!$A$1:$L$32</definedName>
    <definedName name="_xlnm.Print_Area" localSheetId="0">合计!$A$1:$C$9</definedName>
    <definedName name="_xlnm.Print_Area" localSheetId="7">门卫!$A$1:$L$18</definedName>
    <definedName name="_xlnm.Print_Area" localSheetId="5">研发车间!$A$1:$L$24</definedName>
    <definedName name="_xlnm.Print_Titles" localSheetId="1">车间2!$1:$3</definedName>
    <definedName name="_xlnm.Print_Titles" localSheetId="2">车间3!$1:$3</definedName>
    <definedName name="_xlnm.Print_Titles" localSheetId="4">车间4!$1:$3</definedName>
    <definedName name="_xlnm.Print_Titles" localSheetId="6">独立辅房!$1:$3</definedName>
    <definedName name="_xlnm.Print_Titles" localSheetId="7">门卫!$1:$3</definedName>
    <definedName name="_xlnm.Print_Titles" localSheetId="5">研发车间!$1:$3</definedName>
  </definedNames>
  <calcPr calcId="162913"/>
</workbook>
</file>

<file path=xl/calcChain.xml><?xml version="1.0" encoding="utf-8"?>
<calcChain xmlns="http://schemas.openxmlformats.org/spreadsheetml/2006/main">
  <c r="J39" i="2" l="1"/>
  <c r="K39" i="2" s="1"/>
  <c r="J39" i="5"/>
  <c r="K39" i="5" s="1"/>
  <c r="E20" i="2" l="1"/>
  <c r="E16" i="5"/>
  <c r="E17" i="7"/>
  <c r="J13" i="2"/>
  <c r="K13" i="2" s="1"/>
  <c r="J14" i="2"/>
  <c r="K14" i="2" s="1"/>
  <c r="J34" i="2"/>
  <c r="K34" i="2" s="1"/>
  <c r="E23" i="8"/>
  <c r="J22" i="8"/>
  <c r="K22" i="8" s="1"/>
  <c r="E28" i="7"/>
  <c r="E27" i="5"/>
  <c r="J26" i="5"/>
  <c r="K26" i="5" s="1"/>
  <c r="J28" i="7"/>
  <c r="K28" i="7" s="1"/>
  <c r="E24" i="2"/>
  <c r="E11" i="11" l="1"/>
  <c r="J11" i="11"/>
  <c r="E17" i="8"/>
  <c r="J17" i="8"/>
  <c r="E16" i="8"/>
  <c r="E27" i="2"/>
  <c r="J28" i="2"/>
  <c r="J18" i="2"/>
  <c r="E21" i="5"/>
  <c r="J21" i="5"/>
  <c r="K21" i="5" s="1"/>
  <c r="E23" i="7"/>
  <c r="E22" i="7"/>
  <c r="J22" i="7"/>
  <c r="E21" i="7"/>
  <c r="K11" i="11" l="1"/>
  <c r="K17" i="8"/>
  <c r="K22" i="7"/>
  <c r="J8" i="11" l="1"/>
  <c r="J8" i="10"/>
  <c r="J30" i="2"/>
  <c r="K30" i="2" s="1"/>
  <c r="J29" i="2"/>
  <c r="K29" i="2" s="1"/>
  <c r="J24" i="2"/>
  <c r="K24" i="2" s="1"/>
  <c r="J23" i="2"/>
  <c r="K23" i="2" s="1"/>
  <c r="J20" i="2"/>
  <c r="K20" i="2" s="1"/>
  <c r="J16" i="5" l="1"/>
  <c r="K16" i="5" s="1"/>
  <c r="J14" i="5"/>
  <c r="J5" i="7" l="1"/>
  <c r="J17" i="7"/>
  <c r="K17" i="7" s="1"/>
  <c r="J15" i="7"/>
  <c r="J27" i="2" l="1"/>
  <c r="K27" i="2" s="1"/>
  <c r="E16" i="7" l="1"/>
  <c r="E14" i="5"/>
  <c r="E22" i="5" l="1"/>
  <c r="K14" i="5"/>
  <c r="E15" i="5"/>
  <c r="E12" i="5"/>
  <c r="E20" i="5" s="1"/>
  <c r="J10" i="2" l="1"/>
  <c r="K10" i="2" s="1"/>
  <c r="E6" i="2"/>
  <c r="E8" i="2" l="1"/>
  <c r="E5" i="2"/>
  <c r="E20" i="8" l="1"/>
  <c r="E32" i="2"/>
  <c r="E24" i="5"/>
  <c r="E25" i="7"/>
  <c r="E11" i="10" l="1"/>
  <c r="E12" i="10"/>
  <c r="E10" i="11"/>
  <c r="E9" i="11"/>
  <c r="J10" i="11"/>
  <c r="J9" i="11"/>
  <c r="K9" i="11" s="1"/>
  <c r="K8" i="11"/>
  <c r="J7" i="11"/>
  <c r="K7" i="11" s="1"/>
  <c r="J6" i="11"/>
  <c r="K6" i="11" s="1"/>
  <c r="J5" i="11"/>
  <c r="K5" i="11" s="1"/>
  <c r="J17" i="10"/>
  <c r="K17" i="10" s="1"/>
  <c r="J16" i="10"/>
  <c r="K16" i="10" s="1"/>
  <c r="J15" i="10"/>
  <c r="K15" i="10" s="1"/>
  <c r="J14" i="10"/>
  <c r="K14" i="10" s="1"/>
  <c r="J13" i="10"/>
  <c r="J12" i="10"/>
  <c r="J11" i="10"/>
  <c r="J10" i="10"/>
  <c r="K10" i="10" s="1"/>
  <c r="J9" i="10"/>
  <c r="K9" i="10" s="1"/>
  <c r="K8" i="10"/>
  <c r="J7" i="10"/>
  <c r="K7" i="10" s="1"/>
  <c r="J6" i="10"/>
  <c r="K6" i="10" s="1"/>
  <c r="J5" i="10"/>
  <c r="K5" i="10" s="1"/>
  <c r="E12" i="7"/>
  <c r="E11" i="5"/>
  <c r="E15" i="2"/>
  <c r="E15" i="8"/>
  <c r="E9" i="8"/>
  <c r="J25" i="8"/>
  <c r="K25" i="8" s="1"/>
  <c r="J24" i="8"/>
  <c r="J23" i="8"/>
  <c r="K23" i="8" s="1"/>
  <c r="J21" i="8"/>
  <c r="K21" i="8" s="1"/>
  <c r="J20" i="8"/>
  <c r="K20" i="8" s="1"/>
  <c r="J19" i="8"/>
  <c r="K19" i="8" s="1"/>
  <c r="J18" i="8"/>
  <c r="J16" i="8"/>
  <c r="J15" i="8"/>
  <c r="J14" i="8"/>
  <c r="K14" i="8" s="1"/>
  <c r="J13" i="8"/>
  <c r="K13" i="8" s="1"/>
  <c r="J12" i="8"/>
  <c r="K12" i="8" s="1"/>
  <c r="K11" i="8"/>
  <c r="J10" i="8"/>
  <c r="K10" i="8" s="1"/>
  <c r="J9" i="8"/>
  <c r="J8" i="8"/>
  <c r="K8" i="8" s="1"/>
  <c r="J7" i="8"/>
  <c r="K7" i="8" s="1"/>
  <c r="J6" i="8"/>
  <c r="K6" i="8" s="1"/>
  <c r="J5" i="8"/>
  <c r="K5" i="8" s="1"/>
  <c r="K11" i="10" l="1"/>
  <c r="K12" i="10"/>
  <c r="K10" i="11"/>
  <c r="K4" i="11" s="1"/>
  <c r="K12" i="11" s="1"/>
  <c r="K13" i="10"/>
  <c r="K16" i="8"/>
  <c r="K15" i="8"/>
  <c r="K9" i="8"/>
  <c r="K4" i="8" s="1"/>
  <c r="K24" i="8"/>
  <c r="K18" i="8"/>
  <c r="J43" i="2"/>
  <c r="K43" i="2" s="1"/>
  <c r="J42" i="2"/>
  <c r="K42" i="2" s="1"/>
  <c r="J41" i="2"/>
  <c r="K41" i="2" s="1"/>
  <c r="J35" i="5"/>
  <c r="K35" i="5" s="1"/>
  <c r="K15" i="7"/>
  <c r="E38" i="7"/>
  <c r="E39" i="7"/>
  <c r="J38" i="5"/>
  <c r="K38" i="5" s="1"/>
  <c r="J40" i="7"/>
  <c r="K40" i="7" s="1"/>
  <c r="J37" i="7"/>
  <c r="K37" i="7" s="1"/>
  <c r="E20" i="7"/>
  <c r="J6" i="7"/>
  <c r="K6" i="7" s="1"/>
  <c r="K4" i="10" l="1"/>
  <c r="K18" i="10" s="1"/>
  <c r="K19" i="10" s="1"/>
  <c r="J39" i="7"/>
  <c r="K39" i="7" s="1"/>
  <c r="J38" i="7"/>
  <c r="K38" i="7" s="1"/>
  <c r="J36" i="7"/>
  <c r="K36" i="7" s="1"/>
  <c r="J35" i="7"/>
  <c r="K35" i="7" s="1"/>
  <c r="J34" i="7"/>
  <c r="K34" i="7" s="1"/>
  <c r="J33" i="7"/>
  <c r="J31" i="7"/>
  <c r="K31" i="7" s="1"/>
  <c r="J30" i="7"/>
  <c r="K30" i="7" s="1"/>
  <c r="J29" i="7"/>
  <c r="K29" i="7" s="1"/>
  <c r="J27" i="7"/>
  <c r="K27" i="7" s="1"/>
  <c r="J26" i="7"/>
  <c r="K26" i="7" s="1"/>
  <c r="J25" i="7"/>
  <c r="K25" i="7" s="1"/>
  <c r="J24" i="7"/>
  <c r="J23" i="7"/>
  <c r="K23" i="7" s="1"/>
  <c r="J21" i="7"/>
  <c r="K21" i="7" s="1"/>
  <c r="J20" i="7"/>
  <c r="K20" i="7" s="1"/>
  <c r="J19" i="7"/>
  <c r="K19" i="7" s="1"/>
  <c r="J18" i="7"/>
  <c r="K18" i="7" s="1"/>
  <c r="J16" i="7"/>
  <c r="K16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K5" i="7"/>
  <c r="K24" i="7" l="1"/>
  <c r="K26" i="8"/>
  <c r="C7" i="4"/>
  <c r="K13" i="11"/>
  <c r="K14" i="11" s="1"/>
  <c r="K20" i="10"/>
  <c r="K33" i="7"/>
  <c r="K4" i="7"/>
  <c r="K27" i="8"/>
  <c r="J29" i="5"/>
  <c r="K29" i="5" s="1"/>
  <c r="J28" i="5"/>
  <c r="O13" i="6"/>
  <c r="O14" i="6"/>
  <c r="O12" i="6"/>
  <c r="O3" i="6"/>
  <c r="O4" i="6"/>
  <c r="O5" i="6"/>
  <c r="O6" i="6"/>
  <c r="O7" i="6"/>
  <c r="O8" i="6"/>
  <c r="O9" i="6"/>
  <c r="O10" i="6"/>
  <c r="O11" i="6"/>
  <c r="O2" i="6"/>
  <c r="J22" i="5"/>
  <c r="E19" i="5"/>
  <c r="J34" i="5"/>
  <c r="K34" i="5" s="1"/>
  <c r="J33" i="5"/>
  <c r="K33" i="5" s="1"/>
  <c r="N14" i="6"/>
  <c r="M13" i="6"/>
  <c r="L12" i="6"/>
  <c r="N15" i="6"/>
  <c r="K15" i="6"/>
  <c r="L15" i="6"/>
  <c r="M15" i="6"/>
  <c r="J15" i="6"/>
  <c r="J5" i="6"/>
  <c r="J4" i="6"/>
  <c r="K4" i="6" s="1"/>
  <c r="J3" i="6"/>
  <c r="K3" i="6" s="1"/>
  <c r="K2" i="6"/>
  <c r="J2" i="6"/>
  <c r="I2" i="6"/>
  <c r="I3" i="6"/>
  <c r="I4" i="6"/>
  <c r="I5" i="6"/>
  <c r="I6" i="6"/>
  <c r="K6" i="6" s="1"/>
  <c r="I7" i="6"/>
  <c r="K7" i="6" s="1"/>
  <c r="I8" i="6"/>
  <c r="K8" i="6" s="1"/>
  <c r="I9" i="6"/>
  <c r="K9" i="6" s="1"/>
  <c r="I10" i="6"/>
  <c r="I11" i="6"/>
  <c r="I12" i="6"/>
  <c r="I13" i="6"/>
  <c r="I14" i="6"/>
  <c r="E16" i="2"/>
  <c r="E18" i="5"/>
  <c r="K15" i="11" l="1"/>
  <c r="K16" i="11" s="1"/>
  <c r="K17" i="11" s="1"/>
  <c r="C8" i="4" s="1"/>
  <c r="K21" i="10"/>
  <c r="K22" i="10" s="1"/>
  <c r="K23" i="10" s="1"/>
  <c r="C6" i="4" s="1"/>
  <c r="K28" i="8"/>
  <c r="K28" i="5"/>
  <c r="K41" i="7"/>
  <c r="O15" i="6"/>
  <c r="K22" i="5"/>
  <c r="K5" i="6"/>
  <c r="J37" i="5"/>
  <c r="K37" i="5" s="1"/>
  <c r="J36" i="5"/>
  <c r="K36" i="5" s="1"/>
  <c r="J32" i="5"/>
  <c r="K32" i="5" s="1"/>
  <c r="K31" i="5" s="1"/>
  <c r="J31" i="5"/>
  <c r="J30" i="5"/>
  <c r="K30" i="5" s="1"/>
  <c r="J27" i="5"/>
  <c r="K27" i="5" s="1"/>
  <c r="J25" i="5"/>
  <c r="K25" i="5" s="1"/>
  <c r="J24" i="5"/>
  <c r="K24" i="5" s="1"/>
  <c r="J23" i="5"/>
  <c r="J20" i="5"/>
  <c r="J19" i="5"/>
  <c r="K19" i="5" s="1"/>
  <c r="J18" i="5"/>
  <c r="K18" i="5" s="1"/>
  <c r="J17" i="5"/>
  <c r="K17" i="5" s="1"/>
  <c r="J15" i="5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K29" i="8" l="1"/>
  <c r="K42" i="7"/>
  <c r="K23" i="5"/>
  <c r="K30" i="8" l="1"/>
  <c r="K31" i="8" s="1"/>
  <c r="K43" i="7"/>
  <c r="K15" i="5"/>
  <c r="K20" i="5"/>
  <c r="K4" i="5" l="1"/>
  <c r="K40" i="5" s="1"/>
  <c r="K44" i="7"/>
  <c r="K45" i="7" s="1"/>
  <c r="K46" i="7" l="1"/>
  <c r="C3" i="4" s="1"/>
  <c r="K41" i="5"/>
  <c r="K42" i="5" l="1"/>
  <c r="K43" i="5" s="1"/>
  <c r="K44" i="5" s="1"/>
  <c r="K45" i="5" l="1"/>
  <c r="C4" i="4" s="1"/>
  <c r="J49" i="2"/>
  <c r="K49" i="2" s="1"/>
  <c r="E9" i="2" l="1"/>
  <c r="E7" i="2"/>
  <c r="J11" i="2"/>
  <c r="K11" i="2" s="1"/>
  <c r="J6" i="2"/>
  <c r="E19" i="2" l="1"/>
  <c r="E18" i="2"/>
  <c r="E25" i="2"/>
  <c r="K6" i="2"/>
  <c r="E26" i="2"/>
  <c r="E28" i="2" l="1"/>
  <c r="K28" i="2" s="1"/>
  <c r="K18" i="2"/>
  <c r="J7" i="2"/>
  <c r="J8" i="2"/>
  <c r="J9" i="2"/>
  <c r="J12" i="2"/>
  <c r="J15" i="2"/>
  <c r="K15" i="2" s="1"/>
  <c r="J16" i="2"/>
  <c r="J17" i="2"/>
  <c r="J19" i="2"/>
  <c r="J21" i="2"/>
  <c r="J22" i="2"/>
  <c r="J25" i="2"/>
  <c r="J26" i="2"/>
  <c r="J31" i="2"/>
  <c r="J32" i="2"/>
  <c r="J33" i="2"/>
  <c r="J35" i="2"/>
  <c r="J36" i="2"/>
  <c r="J37" i="2"/>
  <c r="J38" i="2"/>
  <c r="J40" i="2"/>
  <c r="J44" i="2"/>
  <c r="J45" i="2"/>
  <c r="J46" i="2"/>
  <c r="J47" i="2"/>
  <c r="J48" i="2"/>
  <c r="J5" i="2"/>
  <c r="K7" i="2" l="1"/>
  <c r="K8" i="2"/>
  <c r="K9" i="2"/>
  <c r="K12" i="2"/>
  <c r="K16" i="2"/>
  <c r="K17" i="2"/>
  <c r="K19" i="2"/>
  <c r="K21" i="2"/>
  <c r="K22" i="2"/>
  <c r="K25" i="2"/>
  <c r="K26" i="2"/>
  <c r="K32" i="2"/>
  <c r="K33" i="2"/>
  <c r="K35" i="2"/>
  <c r="K36" i="2"/>
  <c r="K37" i="2"/>
  <c r="K38" i="2"/>
  <c r="K44" i="2"/>
  <c r="K45" i="2"/>
  <c r="K46" i="2"/>
  <c r="K47" i="2"/>
  <c r="K48" i="2"/>
  <c r="K5" i="2"/>
  <c r="K31" i="2" l="1"/>
  <c r="K40" i="2"/>
  <c r="K4" i="2"/>
  <c r="K50" i="2" l="1"/>
  <c r="K51" i="2" s="1"/>
  <c r="K52" i="2" s="1"/>
  <c r="K53" i="2" l="1"/>
  <c r="K54" i="2" s="1"/>
  <c r="K55" i="2" l="1"/>
  <c r="C5" i="4" l="1"/>
  <c r="C9" i="4" s="1"/>
</calcChain>
</file>

<file path=xl/sharedStrings.xml><?xml version="1.0" encoding="utf-8"?>
<sst xmlns="http://schemas.openxmlformats.org/spreadsheetml/2006/main" count="815" uniqueCount="238">
  <si>
    <t>序号</t>
  </si>
  <si>
    <t>项目名称</t>
  </si>
  <si>
    <t>报价（元）</t>
  </si>
  <si>
    <t>备注</t>
  </si>
  <si>
    <t>m2</t>
  </si>
  <si>
    <t>合计</t>
  </si>
  <si>
    <t>清单名称</t>
  </si>
  <si>
    <t>清单描述（包含材料种类、材质、材料品牌、型号或规格，工作内容，特殊工艺等，报价单位自行描述）</t>
  </si>
  <si>
    <t>单位</t>
  </si>
  <si>
    <t>数量</t>
  </si>
  <si>
    <t>综合单价（元）</t>
  </si>
  <si>
    <t>合价（元）</t>
  </si>
  <si>
    <t>加工费（元）</t>
  </si>
  <si>
    <t>安装费（元）</t>
  </si>
  <si>
    <t>其他（含措施费等其他一切费用）</t>
  </si>
  <si>
    <t>综合单价合计</t>
  </si>
  <si>
    <t>一</t>
  </si>
  <si>
    <t>钢结构部分</t>
  </si>
  <si>
    <t>T</t>
  </si>
  <si>
    <t>含材料费、场内外运输费、除锈费、制作费、拼装吊装费、安全文明及其他措施费、风险费</t>
  </si>
  <si>
    <t>含材料费、场内外运输费、制作费、安装费、安全文明及其他措施费、风险费</t>
  </si>
  <si>
    <t>含材料费、场内外运输费、施工费、安全文明及其他措施费、风险费</t>
  </si>
  <si>
    <t>m</t>
  </si>
  <si>
    <t>直接费</t>
  </si>
  <si>
    <t>项</t>
  </si>
  <si>
    <t>二</t>
  </si>
  <si>
    <t xml:space="preserve">雨棚板（同屋面） </t>
  </si>
  <si>
    <t>含材料费、场内外运输费制作费、安装费、安全文明及其他措施费、风险费</t>
  </si>
  <si>
    <t>个</t>
  </si>
  <si>
    <t>天沟（不锈钢）按深化图</t>
  </si>
  <si>
    <t>三</t>
  </si>
  <si>
    <t>含设备及其安装、电路系统，满足使用要求，含调试费用等</t>
  </si>
  <si>
    <t>铝合金窗</t>
  </si>
  <si>
    <t>吊车梁</t>
    <phoneticPr fontId="5" type="noConversion"/>
  </si>
  <si>
    <t xml:space="preserve">柱间支撑、竖向系杆及拉条 </t>
    <phoneticPr fontId="5" type="noConversion"/>
  </si>
  <si>
    <t>屋面镀锌钢檩条</t>
    <phoneticPr fontId="5" type="noConversion"/>
  </si>
  <si>
    <t xml:space="preserve">墙面镀锌钢檩条 </t>
    <phoneticPr fontId="5" type="noConversion"/>
  </si>
  <si>
    <t xml:space="preserve">外墙面板 </t>
    <phoneticPr fontId="5" type="noConversion"/>
  </si>
  <si>
    <t>铝合金百叶窗</t>
    <phoneticPr fontId="5" type="noConversion"/>
  </si>
  <si>
    <t>木门</t>
    <phoneticPr fontId="5" type="noConversion"/>
  </si>
  <si>
    <t>胶合板门</t>
    <phoneticPr fontId="5" type="noConversion"/>
  </si>
  <si>
    <t>卷帘门</t>
    <phoneticPr fontId="5" type="noConversion"/>
  </si>
  <si>
    <t>实腹钢柱</t>
    <phoneticPr fontId="6" type="noConversion"/>
  </si>
  <si>
    <t>金属面防火漆（2.5H）</t>
    <phoneticPr fontId="5" type="noConversion"/>
  </si>
  <si>
    <t>金属面防火漆（1.5H）</t>
    <phoneticPr fontId="5" type="noConversion"/>
  </si>
  <si>
    <t xml:space="preserve">屋面彩钢板 </t>
    <phoneticPr fontId="5" type="noConversion"/>
  </si>
  <si>
    <t>材料费（元）</t>
    <phoneticPr fontId="5" type="noConversion"/>
  </si>
  <si>
    <t>m2</t>
    <phoneticPr fontId="5" type="noConversion"/>
  </si>
  <si>
    <t>落水管</t>
    <phoneticPr fontId="5" type="noConversion"/>
  </si>
  <si>
    <t xml:space="preserve">雨水斗 </t>
    <phoneticPr fontId="5" type="noConversion"/>
  </si>
  <si>
    <t>门窗部分</t>
    <phoneticPr fontId="5" type="noConversion"/>
  </si>
  <si>
    <t>管理费:(直接费+临时设施费)*  %</t>
    <phoneticPr fontId="5" type="noConversion"/>
  </si>
  <si>
    <t>利润:(直接费+临时设施费+管理费)  %</t>
    <phoneticPr fontId="5" type="noConversion"/>
  </si>
  <si>
    <t>税金:(直接费+临时设施费+管理费+利润)*9%</t>
    <phoneticPr fontId="5" type="noConversion"/>
  </si>
  <si>
    <t>总造价</t>
    <phoneticPr fontId="5" type="noConversion"/>
  </si>
  <si>
    <t>围护结构及排水工程</t>
    <phoneticPr fontId="5" type="noConversion"/>
  </si>
  <si>
    <t>临时设施费:直接费*    %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</si>
  <si>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</si>
  <si>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</si>
  <si>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</si>
  <si>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七</t>
    <phoneticPr fontId="5" type="noConversion"/>
  </si>
  <si>
    <t>八</t>
    <phoneticPr fontId="5" type="noConversion"/>
  </si>
  <si>
    <t>九</t>
    <phoneticPr fontId="5" type="noConversion"/>
  </si>
  <si>
    <t>建材及锂电装备智能制造基地项目一期钢结构工程-车间4</t>
    <phoneticPr fontId="5" type="noConversion"/>
  </si>
  <si>
    <t>空腹钢柱</t>
    <phoneticPr fontId="6" type="noConversion"/>
  </si>
  <si>
    <t>楼层H型钢梁</t>
    <phoneticPr fontId="5" type="noConversion"/>
  </si>
  <si>
    <t xml:space="preserve">屋架H型钢梁 </t>
    <phoneticPr fontId="5" type="noConversion"/>
  </si>
  <si>
    <t>牛腿</t>
    <phoneticPr fontId="5" type="noConversion"/>
  </si>
  <si>
    <t xml:space="preserve">雨蓬梁 </t>
    <phoneticPr fontId="5" type="noConversion"/>
  </si>
  <si>
    <t>楼梯柱</t>
    <phoneticPr fontId="5" type="noConversion"/>
  </si>
  <si>
    <t>楼梯梁</t>
    <phoneticPr fontId="5" type="noConversion"/>
  </si>
  <si>
    <t>钢质防火门</t>
    <phoneticPr fontId="5" type="noConversion"/>
  </si>
  <si>
    <t>楼承板</t>
    <phoneticPr fontId="5" type="noConversion"/>
  </si>
  <si>
    <t>m2</t>
    <phoneticPr fontId="5" type="noConversion"/>
  </si>
  <si>
    <t>1、HB1-90钢筋桁架楼承板（含钢筋、栓钉等内配所有结构构件，含模板支撑费用）；
2、桁架高度90mm,120mm厚C30砼板浇捣（含材料费）
3、施工满足设计要求</t>
    <phoneticPr fontId="6" type="noConversion"/>
  </si>
  <si>
    <t>1、HB1-120钢筋桁架楼承板（含钢筋、栓钉等内配所有结构构件，含模板支撑费用）；
2、桁架高度120mm,150mm厚C30砼板浇捣（含材料费）
3、施工满足设计要求</t>
    <phoneticPr fontId="6" type="noConversion"/>
  </si>
  <si>
    <t>钢楼梯</t>
    <phoneticPr fontId="5" type="noConversion"/>
  </si>
  <si>
    <t>T</t>
    <phoneticPr fontId="5" type="noConversion"/>
  </si>
  <si>
    <t>1、H型钢柱制作安装，钢材选用Q355B，按图纸要求，品牌按标书要求，施工按图纸要求；
2、金属构件运输（运距综合考虑）；
3、金属面除锈(抛丸除锈，除锈等级为Sa2.5)
4、螺栓综合考虑</t>
    <phoneticPr fontId="5" type="noConversion"/>
  </si>
  <si>
    <t>1、方钢管柱制作安装，钢材选用Q355B，按图纸要求，品牌按标书要求，施工按图纸要求；
2、金属构件运输（运距综合考虑）；
3、金属面除锈(抛丸除锈，除锈等级为Sa2.5)
4、螺栓综合考虑</t>
    <phoneticPr fontId="5" type="noConversion"/>
  </si>
  <si>
    <t>1、H型钢梁制作安装、钢材选用Q355B，按图纸要求，品牌按标书要求，施工按图纸要求；
2、金属构件运输（运距综合考虑）；
3、金属面除锈(抛丸除锈，除锈等级为Sa2.5)
4、螺栓综合考虑</t>
    <phoneticPr fontId="5" type="noConversion"/>
  </si>
  <si>
    <t>1、H型钢梁制作安装，钢材选用Q355B，品牌按标书要求，施工满足图纸要求，
2、金属构件运输（运距综合考虑）；
3、金属面除锈(抛丸除锈，除锈等级为Sa2.5)
4、螺栓综合考虑</t>
    <phoneticPr fontId="5" type="noConversion"/>
  </si>
  <si>
    <t>1、H型钢梁制作安装，钢材选用Q355B，品牌按标书要求，施工满足图纸要求；
2、金属构件运输（运距综合考虑）；
3、金属面除锈(抛丸除锈，除锈等级为Sa2.5)
4、螺栓综合考虑
5、含加腹板、加劲板、吊车车挡</t>
    <phoneticPr fontId="5" type="noConversion"/>
  </si>
  <si>
    <t>1、H型钢牛腿（含加强版）制作安装，钢材选用Q355B，品牌按标书要求，施工满足图纸要求；
2、金属构件运输（运距综合考虑）；
3、金属面除锈(抛丸除锈，除锈等级为Sa2.5)
4、螺栓综合考虑</t>
    <phoneticPr fontId="5" type="noConversion"/>
  </si>
  <si>
    <t>1、H型钢、槽钢、工字钢雨蓬梁制作安装，钢材选用Q355B，品牌按标书要求，施工满足图纸要求；
2、金属构件运输（运距综合考虑）；
3、金属面除锈(抛丸除锈，除锈等级为Sa2.5)
4、螺栓综合考虑</t>
    <phoneticPr fontId="5" type="noConversion"/>
  </si>
  <si>
    <t>1、H型钢柱制作安装，钢材选用Q355B，品牌按标书要求，施工满足图纸要求；
2、金属构件运输（运距综合考虑）；
3、金属面除锈(抛丸除锈，除锈等级为Sa2.5)
4、螺栓综合考虑</t>
    <phoneticPr fontId="5" type="noConversion"/>
  </si>
  <si>
    <t>1、H型钢、槽钢梁制作安装，钢材选用Q355B，品牌按标书要求，施工满足图纸要求；
2、金属构件运输（运距综合考虑）；
3、金属面除锈(抛丸除锈，除锈等级为Sa2.5)
4、螺栓综合考虑</t>
    <phoneticPr fontId="5" type="noConversion"/>
  </si>
  <si>
    <t>1、角钢、槽钢、扁钢、钢板等制作安装，钢材选用按图纸要求，品牌按标书要求，施工满足图纸要求；
2、金属构件运输（运距综合考虑）；
3、金属面除锈(抛丸除锈，除锈等级为Sa2.5)
4、螺栓综合考虑</t>
    <phoneticPr fontId="5" type="noConversion"/>
  </si>
  <si>
    <t>1、圆钢系杆、钢圆管护套、角钢、扁钢等制作安装，钢材选用Q235B，品牌按标书要求，施工满足图纸要求；
2、金属构件运输（运距综合考虑）；
3、金属面除锈(抛丸除锈，除锈等级为Sa2.5)
4、螺栓综合考虑</t>
    <phoneticPr fontId="5" type="noConversion"/>
  </si>
  <si>
    <t>1、C型镀锌檩条等制作安装，钢材选用按图纸要求，品牌按标书要求，镀锌量不少于275g/m2,施工满足图纸要求；
2、金属构件运输（运距综合考虑）；
3、螺栓综合考虑</t>
    <phoneticPr fontId="5" type="noConversion"/>
  </si>
  <si>
    <t>屋面支撑、系杆</t>
    <phoneticPr fontId="5" type="noConversion"/>
  </si>
  <si>
    <t xml:space="preserve">屋面檩间系杆及拉条  </t>
    <phoneticPr fontId="5" type="noConversion"/>
  </si>
  <si>
    <t>1、圆钢、钢圆管、角钢、扁钢等支撑、系杆及支撑制作安装，钢材选用Q235B，品牌按标书要求，施工满足图纸要求；
2、金属构件运输（运距综合考虑）；
3、金属面除锈(抛丸除锈，除锈等级为Sa2.5)
4、螺栓综合考虑</t>
    <phoneticPr fontId="5" type="noConversion"/>
  </si>
  <si>
    <t>1、室内钢梯（角钢、花纹钢板等）制作安装，钢材选用按图纸要求，具体详图，综合考虑；
2、含楼梯平台、梯步等位置；
3、金属构件运输（运距综合考虑）；
4、金属面除锈(抛丸除锈，除锈等级为Sa2.5)</t>
    <phoneticPr fontId="6" type="noConversion"/>
  </si>
  <si>
    <t>1、镀锌圆钢、钢圆管、角钢、扁钢等系杆及拉条制作安装，钢材选用Q235B，品牌按标书要求，镀锌量不少于275g/m2,施工满足图纸要求；
2、金属构件运输（运距综合考虑）；
3、金属面除锈(抛丸除锈，除锈等级为Sa2.5)
4、螺栓综合考虑</t>
    <phoneticPr fontId="5" type="noConversion"/>
  </si>
  <si>
    <t>1、镀锌圆钢、钢圆管、角钢、扁钢等系杆或拉条制作安装，钢材选用Q235B，品牌按标书要求，镀锌量不少于275g/m2,施工满足图纸要求；
2、金属构件运输（运距综合考虑）；
3、金属面除锈(抛丸除锈，除锈等级为Sa2.5)
4、螺栓综合考虑</t>
    <phoneticPr fontId="5" type="noConversion"/>
  </si>
  <si>
    <t>建材及锂电装备智能制造基地项目一期钢结构工程-车间3</t>
    <phoneticPr fontId="5" type="noConversion"/>
  </si>
  <si>
    <t>实腹钢柱</t>
    <phoneticPr fontId="6" type="noConversion"/>
  </si>
  <si>
    <t>预埋（钢板、角钢、槽钢、螺栓）埋件</t>
    <phoneticPr fontId="5" type="noConversion"/>
  </si>
  <si>
    <t>1、预埋角钢、槽钢、扁钢、钢板、螺栓等制作安装，钢材选用按图纸要求，品牌按标书要求，施工满足图纸要求；
2、金属构件运输（运距综合考虑）；
3、金属面除锈(抛丸除锈，除锈等级为Sa2.5)</t>
    <phoneticPr fontId="5" type="noConversion"/>
  </si>
  <si>
    <t>钢桁架</t>
    <phoneticPr fontId="5" type="noConversion"/>
  </si>
  <si>
    <t>1、槽钢、角钢钢桁架制作安装，钢材选用Q235B，品牌按标书要求，施工满足图纸要求；
2、金属构件运输（运距综合考虑）；
3、金属面除锈(抛丸除锈，除锈等级为Sa2.5)
4、螺栓综合考虑在单价中</t>
    <phoneticPr fontId="5" type="noConversion"/>
  </si>
  <si>
    <t>类型</t>
  </si>
  <si>
    <t>设计编号</t>
  </si>
  <si>
    <t>洞口尺寸 (mm)</t>
  </si>
  <si>
    <t>1F</t>
  </si>
  <si>
    <t>2F</t>
  </si>
  <si>
    <t>C4025</t>
  </si>
  <si>
    <t>4000X2500</t>
  </si>
  <si>
    <t>C6025</t>
  </si>
  <si>
    <t>6000X2500</t>
  </si>
  <si>
    <t>C8025</t>
  </si>
  <si>
    <t>8000X2500</t>
  </si>
  <si>
    <t>C10025</t>
  </si>
  <si>
    <t>10000X2500</t>
  </si>
  <si>
    <t>GC4012</t>
  </si>
  <si>
    <t>4000X1200</t>
  </si>
  <si>
    <t>GC6012</t>
  </si>
  <si>
    <t>6000X1200</t>
  </si>
  <si>
    <t>GC8012</t>
  </si>
  <si>
    <t>8000X1200</t>
  </si>
  <si>
    <t>GC10012</t>
  </si>
  <si>
    <t>10000X1200</t>
  </si>
  <si>
    <t>弧形窗</t>
  </si>
  <si>
    <t>C6011a</t>
  </si>
  <si>
    <t>6000X1187</t>
  </si>
  <si>
    <t>C8011a</t>
  </si>
  <si>
    <t>JLM8060</t>
  </si>
  <si>
    <t>8000X6000</t>
  </si>
  <si>
    <t>TSM8060</t>
  </si>
  <si>
    <t>PYM10060</t>
  </si>
  <si>
    <t>10000X6000</t>
  </si>
  <si>
    <t>合计</t>
    <phoneticPr fontId="5" type="noConversion"/>
  </si>
  <si>
    <t>平开</t>
    <phoneticPr fontId="5" type="noConversion"/>
  </si>
  <si>
    <t>固定</t>
    <phoneticPr fontId="5" type="noConversion"/>
  </si>
  <si>
    <t>8000X1187</t>
    <phoneticPr fontId="5" type="noConversion"/>
  </si>
  <si>
    <t>卷帘门</t>
    <phoneticPr fontId="5" type="noConversion"/>
  </si>
  <si>
    <t>提升门</t>
    <phoneticPr fontId="5" type="noConversion"/>
  </si>
  <si>
    <t>平移门</t>
    <phoneticPr fontId="5" type="noConversion"/>
  </si>
  <si>
    <t>平移门</t>
    <phoneticPr fontId="5" type="noConversion"/>
  </si>
  <si>
    <t>1、钢制电动卷帘门制安，按图纸要求
2、包含电机安装，调试</t>
    <phoneticPr fontId="5" type="noConversion"/>
  </si>
  <si>
    <t>连接板、车档、檩托板、</t>
    <phoneticPr fontId="5" type="noConversion"/>
  </si>
  <si>
    <t>金属面油漆</t>
    <phoneticPr fontId="5" type="noConversion"/>
  </si>
  <si>
    <t>包边</t>
    <phoneticPr fontId="5" type="noConversion"/>
  </si>
  <si>
    <t>建材及锂电装备智能制造基地项目一期钢结构工程-车间2</t>
    <phoneticPr fontId="5" type="noConversion"/>
  </si>
  <si>
    <t>空腹钢柱</t>
    <phoneticPr fontId="6" type="noConversion"/>
  </si>
  <si>
    <t>1、钢圆管柱制作安装，钢材选用Q355B，按图纸要求，品牌按标书要求，施工按图纸要求；
2、金属构件运输（运距综合考虑）；
3、金属面除锈(抛丸除锈，除锈等级为Sa2.5)
4、螺栓综合考虑</t>
    <phoneticPr fontId="5" type="noConversion"/>
  </si>
  <si>
    <t>移门</t>
    <phoneticPr fontId="5" type="noConversion"/>
  </si>
  <si>
    <t>铝合金弧形窗</t>
    <phoneticPr fontId="5" type="noConversion"/>
  </si>
  <si>
    <t>二</t>
    <phoneticPr fontId="5" type="noConversion"/>
  </si>
  <si>
    <t>不锈钢门</t>
    <phoneticPr fontId="5" type="noConversion"/>
  </si>
  <si>
    <t>1、不锈钢平开门制作安装
2、含五金，门锁等</t>
    <phoneticPr fontId="5" type="noConversion"/>
  </si>
  <si>
    <t>（墙面、屋面）檩条间系杆及拉条</t>
    <phoneticPr fontId="5" type="noConversion"/>
  </si>
  <si>
    <t>建材及锂电装备智能制造基地项目一期钢结构工程-研发车间</t>
    <phoneticPr fontId="5" type="noConversion"/>
  </si>
  <si>
    <t>建材及锂电装备智能制造基地项目一期钢结构工程-独立辅房</t>
    <phoneticPr fontId="5" type="noConversion"/>
  </si>
  <si>
    <t xml:space="preserve">H型钢梁 </t>
    <phoneticPr fontId="5" type="noConversion"/>
  </si>
  <si>
    <t xml:space="preserve">H型钢梁 </t>
    <phoneticPr fontId="5" type="noConversion"/>
  </si>
  <si>
    <t>三</t>
    <phoneticPr fontId="5" type="noConversion"/>
  </si>
  <si>
    <t>四</t>
    <phoneticPr fontId="5" type="noConversion"/>
  </si>
  <si>
    <t>七</t>
    <phoneticPr fontId="5" type="noConversion"/>
  </si>
  <si>
    <t xml:space="preserve">屋架H型钢梁 </t>
    <phoneticPr fontId="5" type="noConversion"/>
  </si>
  <si>
    <t>三</t>
    <phoneticPr fontId="5" type="noConversion"/>
  </si>
  <si>
    <t>五</t>
    <phoneticPr fontId="5" type="noConversion"/>
  </si>
  <si>
    <t>六</t>
    <phoneticPr fontId="5" type="noConversion"/>
  </si>
  <si>
    <t>车间2</t>
    <phoneticPr fontId="5" type="noConversion"/>
  </si>
  <si>
    <t>建材及锂电装备智能制造基地项目一期钢结构工程清单报价汇总表</t>
    <phoneticPr fontId="5" type="noConversion"/>
  </si>
  <si>
    <t>车间3</t>
    <phoneticPr fontId="5" type="noConversion"/>
  </si>
  <si>
    <t>车间4</t>
  </si>
  <si>
    <t>研发车间</t>
    <phoneticPr fontId="5" type="noConversion"/>
  </si>
  <si>
    <t>独立辅房</t>
    <phoneticPr fontId="5" type="noConversion"/>
  </si>
  <si>
    <t>门卫</t>
    <phoneticPr fontId="5" type="noConversion"/>
  </si>
  <si>
    <t>1.0.6mm厚760型按扣式热镀锌彩钢板屋面
2.板型参见图集01J925-1,HV75-380-760
3.品牌按招标文件要求</t>
    <phoneticPr fontId="5" type="noConversion"/>
  </si>
  <si>
    <t>1.0.5mm厚820型按扣式彩钢板墙面
2.板型参见图集01J925-1，YX28-205-820,板的屈服强度为350MPa
3.板的镀锌量为90/90g/m2,竖向排版
4.品牌按招标文件要求</t>
    <phoneticPr fontId="5" type="noConversion"/>
  </si>
  <si>
    <t>1、钢质电动卷帘门制安，厚度1.0
2、包含电机安装，调试</t>
    <phoneticPr fontId="5" type="noConversion"/>
  </si>
  <si>
    <t>1、钢质电动提升门制安
2、包含电机安装，调试</t>
    <phoneticPr fontId="5" type="noConversion"/>
  </si>
  <si>
    <t>1、钢质电动移门制安
2、包含电机安装，调试</t>
    <phoneticPr fontId="5" type="noConversion"/>
  </si>
  <si>
    <t>落水管</t>
  </si>
  <si>
    <t>134*93彩钢落水管，厚度材质同墙面外板</t>
    <phoneticPr fontId="6" type="noConversion"/>
  </si>
  <si>
    <t>雨水斗</t>
  </si>
  <si>
    <t>1、DE110UPVC排水管安装
2、管件及接头等配件、辅材</t>
    <phoneticPr fontId="5" type="noConversion"/>
  </si>
  <si>
    <t>电梯井圈梁</t>
    <phoneticPr fontId="5" type="noConversion"/>
  </si>
  <si>
    <t>材料费
（元）</t>
    <phoneticPr fontId="5" type="noConversion"/>
  </si>
  <si>
    <t>屋面支撑、隅撑、系杆</t>
    <phoneticPr fontId="5" type="noConversion"/>
  </si>
  <si>
    <t xml:space="preserve">屋面支撑、隅撑、系杆及拉条 </t>
    <phoneticPr fontId="5" type="noConversion"/>
  </si>
  <si>
    <t>屋面支撑、隅撑、系杆及拉条</t>
    <phoneticPr fontId="5" type="noConversion"/>
  </si>
  <si>
    <t>1、圆钢、钢圆管、角钢、扁钢等支撑、系杆及拉条制作安装，钢材选用Q235B，品牌按标书要求，施工满足图纸要求；
2、金属构件运输（运距综合考虑）；
3、金属面除锈(抛丸除锈，除锈等级为Sa2.5)
4、螺栓综合考虑</t>
    <phoneticPr fontId="5" type="noConversion"/>
  </si>
  <si>
    <t xml:space="preserve">墙面镀锌钢檩条 </t>
    <phoneticPr fontId="5" type="noConversion"/>
  </si>
  <si>
    <t>屋面镀锌钢檩条（含雨篷檩条）</t>
    <phoneticPr fontId="5" type="noConversion"/>
  </si>
  <si>
    <t>1、角钢、槽钢、扁钢、钢板、方钢、钢管等楼梯部件（含栏杆）制作安装，钢材选用按图纸要求，品牌按标书要求，施工满足图纸要求；
2、金属构件运输（运距综合考虑）；
3、金属面除锈(抛丸除锈，除锈等级为Sa2.5)
4、螺栓综合考虑</t>
    <phoneticPr fontId="5" type="noConversion"/>
  </si>
  <si>
    <t>134*93彩钢落水管，厚度材质同墙面外板</t>
    <phoneticPr fontId="6" type="noConversion"/>
  </si>
  <si>
    <t>134*93彩钢落水管，0.6mm厚,材质同墙面外板</t>
    <phoneticPr fontId="6" type="noConversion"/>
  </si>
  <si>
    <t>1.0.6mm厚760型按扣式热镀锌彩钢板
2.板型参见图集01J925-1,HV75-380-760
3.品牌按招标文件要求</t>
    <phoneticPr fontId="5" type="noConversion"/>
  </si>
  <si>
    <t xml:space="preserve">雨棚板（同屋面） </t>
    <phoneticPr fontId="5" type="noConversion"/>
  </si>
  <si>
    <t>材料费
（元）</t>
    <phoneticPr fontId="5" type="noConversion"/>
  </si>
  <si>
    <t>临时设施费:直接费*    1.2%</t>
    <phoneticPr fontId="5" type="noConversion"/>
  </si>
  <si>
    <t>管理费:(直接费+临时设施费)*  2%</t>
    <phoneticPr fontId="5" type="noConversion"/>
  </si>
  <si>
    <t>利润:(直接费+临时设施费+管理费)3%</t>
    <phoneticPr fontId="5" type="noConversion"/>
  </si>
  <si>
    <t>合价
（元）</t>
    <phoneticPr fontId="5" type="noConversion"/>
  </si>
  <si>
    <t>利润:(直接费+临时设施费+管理费)  %</t>
    <phoneticPr fontId="5" type="noConversion"/>
  </si>
  <si>
    <t>综合合计</t>
    <phoneticPr fontId="5" type="noConversion"/>
  </si>
  <si>
    <t>1.0.53mm厚820型按扣式彩钢板墙面
2.板型参见图集01J925-1，YX28-205-820,板的屈服强度为350MPa
3.板的镀锌量为镀铝锌量≥150g/m2,竖向排版
4.品牌按招标文件要求</t>
    <phoneticPr fontId="5" type="noConversion"/>
  </si>
  <si>
    <t>1、刷环氧富锌底漆两道；
2、涂刷薄型防火涂料,耐火极限不小于2.5小时;
3、满足消防要收要求并确保通过验收</t>
    <phoneticPr fontId="5" type="noConversion"/>
  </si>
  <si>
    <t>1、刷环氧富锌底漆两道；
2、涂刷薄型防火涂料,耐火极限不小于1.5小时;
3、满足消防要收要求并确保通过验收</t>
    <phoneticPr fontId="5" type="noConversion"/>
  </si>
  <si>
    <t>1、涂刷环氧富锌底漆防腐,两道底漆+一道中间漆,面漆一道，总干膜总厚度≥160μm
2、室内外检修梯、栏杆</t>
    <phoneticPr fontId="5" type="noConversion"/>
  </si>
  <si>
    <t>1、涂刷环氧富锌底漆防腐,总干膜总厚度≥40μm
2、预埋钢构件</t>
    <phoneticPr fontId="5" type="noConversion"/>
  </si>
  <si>
    <t>1、采用304不锈钢板，厚度≥1.5mm，另外不锈钢板外包彩钢板0.5mm；
2、按展开面面积</t>
    <phoneticPr fontId="5" type="noConversion"/>
  </si>
  <si>
    <t>防撞柱</t>
    <phoneticPr fontId="5" type="noConversion"/>
  </si>
  <si>
    <t>大门两侧防撞柱，按招标文件要求</t>
    <phoneticPr fontId="5" type="noConversion"/>
  </si>
  <si>
    <t>个</t>
    <phoneticPr fontId="5" type="noConversion"/>
  </si>
  <si>
    <t>二</t>
    <phoneticPr fontId="5" type="noConversion"/>
  </si>
  <si>
    <t>四</t>
    <phoneticPr fontId="5" type="noConversion"/>
  </si>
  <si>
    <t>七</t>
    <phoneticPr fontId="5" type="noConversion"/>
  </si>
  <si>
    <t>楼梯栏杆、窗护栏</t>
    <phoneticPr fontId="5" type="noConversion"/>
  </si>
  <si>
    <t>1、栏杆（方钢管、扁钢等）制作安装，钢材选用按图纸要求，具体详图，综合考虑；
2、金属构件运输（运距综合考虑）；
3、金属面除锈(抛丸除锈，除锈等级为Sa2.5)</t>
    <phoneticPr fontId="6" type="noConversion"/>
  </si>
  <si>
    <t>70系列铝合金框，壁厚1.8厚，5mm+1.52PVB+5mm钢化夹胶玻璃弧形窗</t>
    <phoneticPr fontId="5" type="noConversion"/>
  </si>
  <si>
    <t>1、采用304不锈钢雨水斗
2、规格与134*93彩钢落水管落水管匹配</t>
    <phoneticPr fontId="6" type="noConversion"/>
  </si>
  <si>
    <t>1、H型钢柱制作安装，钢材选用Q235B，按图纸要求，品牌按标书要求，施工按图纸要求；
2、金属构件运输（运距综合考虑）；
3、金属面除锈(抛丸除锈，除锈等级为Sa2.5)
4、螺栓综合考虑</t>
    <phoneticPr fontId="5" type="noConversion"/>
  </si>
  <si>
    <t>1、H型钢梁制作安装、钢材选用Q235B，按图纸要求，品牌按标书要求，施工按图纸要求；
2、金属构件运输（运距综合考虑）；
3、金属面除锈(抛丸除锈，除锈等级为Sa2.5)
4、螺栓综合考虑</t>
    <phoneticPr fontId="5" type="noConversion"/>
  </si>
  <si>
    <t>1、H型钢、槽钢、工字钢雨蓬梁制作安装，钢材选用Q235B，品牌按标书要求，施工满足图纸要求；
2、金属构件运输（运距综合考虑）；
3、金属面除锈(抛丸除锈，除锈等级为Sa2.5)
4、螺栓综合考虑</t>
    <phoneticPr fontId="5" type="noConversion"/>
  </si>
  <si>
    <t>DE110不锈钢雨水斗</t>
    <phoneticPr fontId="5" type="noConversion"/>
  </si>
  <si>
    <t>1、山墙及侧墙面与屋面交接位、雨篷部分的包边、收口
2、同屋面板，具体规格详见图纸</t>
    <phoneticPr fontId="5" type="noConversion"/>
  </si>
  <si>
    <t xml:space="preserve">泛水板、包边及收口  </t>
    <phoneticPr fontId="5" type="noConversion"/>
  </si>
  <si>
    <t>泛水板、包边及收口</t>
    <phoneticPr fontId="5" type="noConversion"/>
  </si>
  <si>
    <t>1、墙面及门窗边的包边、收口；
2、同墙面板，具体规格详见图纸</t>
    <phoneticPr fontId="5" type="noConversion"/>
  </si>
  <si>
    <t>1、钢质电动卷帘门制安，厚度1.0
2、包含电机安装，调试</t>
    <phoneticPr fontId="5" type="noConversion"/>
  </si>
  <si>
    <t>1、钢质电动移门制安
2、包含电机安装，调试</t>
    <phoneticPr fontId="5" type="noConversion"/>
  </si>
  <si>
    <t>室内外检修梯</t>
    <phoneticPr fontId="5" type="noConversion"/>
  </si>
  <si>
    <t>1、角钢、槽钢、扁钢、钢板、方钢、圆钢、钢管等楼梯部件（含栏杆）制作安装，钢材选用按图纸要求，品牌按标书要求，施工满足图纸要求；
2、金属构件运输（运距综合考虑）；
3、金属面除锈(抛丸除锈，除锈等级为Sa2.5)
4、螺栓综合考虑</t>
    <phoneticPr fontId="5" type="noConversion"/>
  </si>
  <si>
    <t>钢质防火门</t>
    <phoneticPr fontId="5" type="noConversion"/>
  </si>
  <si>
    <t>1、门类型:钢质丙级防火门(单、双扇综合)
2、其他:制安(含闭门器)</t>
    <phoneticPr fontId="5" type="noConversion"/>
  </si>
  <si>
    <t>钢质防火门</t>
    <phoneticPr fontId="5" type="noConversion"/>
  </si>
  <si>
    <t>1、门类型:钢质乙级防火门(单、双扇综合)
2、其他:制安(含闭门器)</t>
    <phoneticPr fontId="5" type="noConversion"/>
  </si>
  <si>
    <t>1、门类型:钢质甲级防火门(单、双扇综合)
2、其他:制安(含闭门器)</t>
    <phoneticPr fontId="5" type="noConversion"/>
  </si>
  <si>
    <t>70系列铝合金框，壁厚1.8厚，5mm厚透明钢化玻璃固定窗</t>
    <phoneticPr fontId="5" type="noConversion"/>
  </si>
  <si>
    <t>70系列铝合金框，壁厚1.8厚，5mm厚透明钢化玻璃平开窗</t>
    <phoneticPr fontId="5" type="noConversion"/>
  </si>
  <si>
    <t>70系列铝合金框，壁厚1.8厚，5mm厚透明钢化玻璃电动上悬窗，含电动装置，含调试</t>
    <phoneticPr fontId="5" type="noConversion"/>
  </si>
  <si>
    <t>备注：1.本清单项目应按品牌表要求注明所采用的品牌，否则甲方有权指定采购品牌且默认含在报价范围内。2.各类螺栓不单独列项，综合考虑单价中。</t>
    <phoneticPr fontId="5" type="noConversion"/>
  </si>
  <si>
    <t>备注：1.本清单项目应按品牌表要求注明所采用的品牌，否则甲方有权指定采购品牌且默认含在报价范围内。2.各类螺栓不单独列项，综合考虑单价中。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</si>
</sst>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);[Red]\(0.00\)"/>
    <numFmt numFmtId="177" formatCode="0.00_ "/>
    <numFmt numFmtId="178" formatCode="0_);[Red]\(0\)"/>
    <numFmt numFmtId="179" formatCode="[$-411]ge\.mm\.dd"/>
    <numFmt numFmtId="180" formatCode="#,##0.00_ "/>
    <numFmt numFmtId="181" formatCode="0.0_ "/>
    <numFmt numFmtId="182" formatCode="0.000_);[Red]\(0.000\)"/>
    <numFmt numFmtId="183" formatCode="0.000_ "/>
    <numFmt numFmtId="184" formatCode="0.0%"/>
  </numFmts>
  <fonts count="13">
    <font>
      <sz val="11"/>
      <color theme="1"/>
      <name val="等线"/>
      <charset val="134"/>
      <scheme val="minor"/>
    </font>
    <font>
      <sz val="1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仿宋_GB2312"/>
      <charset val="134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9" fillId="2" borderId="0" xfId="0" applyFont="1" applyFill="1"/>
    <xf numFmtId="176" fontId="8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177" fontId="10" fillId="2" borderId="0" xfId="0" applyNumberFormat="1" applyFont="1" applyFill="1" applyAlignment="1">
      <alignment horizontal="center" vertical="center"/>
    </xf>
    <xf numFmtId="178" fontId="8" fillId="2" borderId="1" xfId="0" applyNumberFormat="1" applyFont="1" applyFill="1" applyBorder="1" applyAlignment="1">
      <alignment horizontal="right" vertical="center"/>
    </xf>
    <xf numFmtId="178" fontId="8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left" vertical="center" wrapText="1"/>
    </xf>
    <xf numFmtId="10" fontId="8" fillId="2" borderId="1" xfId="0" applyNumberFormat="1" applyFont="1" applyFill="1" applyBorder="1" applyAlignment="1">
      <alignment horizontal="left" vertical="center"/>
    </xf>
    <xf numFmtId="9" fontId="10" fillId="2" borderId="1" xfId="4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176" fontId="8" fillId="2" borderId="0" xfId="0" applyNumberFormat="1" applyFont="1" applyFill="1" applyAlignment="1">
      <alignment horizontal="right"/>
    </xf>
    <xf numFmtId="176" fontId="8" fillId="2" borderId="0" xfId="0" applyNumberFormat="1" applyFont="1" applyFill="1"/>
    <xf numFmtId="179" fontId="8" fillId="2" borderId="1" xfId="1" applyNumberFormat="1" applyFont="1" applyFill="1" applyBorder="1" applyAlignment="1">
      <alignment horizontal="left" vertical="center" wrapText="1"/>
    </xf>
    <xf numFmtId="176" fontId="9" fillId="2" borderId="0" xfId="0" applyNumberFormat="1" applyFont="1" applyFill="1"/>
    <xf numFmtId="0" fontId="9" fillId="2" borderId="0" xfId="0" applyFont="1" applyFill="1" applyAlignment="1">
      <alignment vertical="center"/>
    </xf>
    <xf numFmtId="179" fontId="7" fillId="2" borderId="1" xfId="1" applyNumberFormat="1" applyFont="1" applyFill="1" applyBorder="1" applyAlignment="1">
      <alignment horizontal="left" vertical="center" wrapText="1"/>
    </xf>
    <xf numFmtId="179" fontId="1" fillId="2" borderId="1" xfId="1" applyNumberFormat="1" applyFont="1" applyFill="1" applyBorder="1" applyAlignment="1">
      <alignment horizontal="left" vertical="center" wrapText="1"/>
    </xf>
    <xf numFmtId="9" fontId="7" fillId="2" borderId="1" xfId="4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81" fontId="1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1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1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0" fontId="12" fillId="0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8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9" fontId="8" fillId="0" borderId="11" xfId="1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180" fontId="8" fillId="2" borderId="1" xfId="0" applyNumberFormat="1" applyFont="1" applyFill="1" applyBorder="1" applyAlignment="1">
      <alignment vertical="center" wrapText="1"/>
    </xf>
    <xf numFmtId="4" fontId="8" fillId="2" borderId="0" xfId="0" applyNumberFormat="1" applyFont="1" applyFill="1" applyAlignment="1">
      <alignment vertical="center"/>
    </xf>
    <xf numFmtId="176" fontId="8" fillId="2" borderId="11" xfId="0" applyNumberFormat="1" applyFont="1" applyFill="1" applyBorder="1" applyAlignment="1">
      <alignment horizontal="right" vertical="center"/>
    </xf>
    <xf numFmtId="2" fontId="8" fillId="2" borderId="11" xfId="1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center"/>
    </xf>
    <xf numFmtId="183" fontId="10" fillId="2" borderId="0" xfId="0" applyNumberFormat="1" applyFont="1" applyFill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84" fontId="10" fillId="2" borderId="1" xfId="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horizontal="right" vertical="center" wrapText="1"/>
    </xf>
    <xf numFmtId="177" fontId="10" fillId="2" borderId="1" xfId="0" applyNumberFormat="1" applyFont="1" applyFill="1" applyBorder="1" applyAlignment="1">
      <alignment horizontal="right" vertical="center"/>
    </xf>
    <xf numFmtId="184" fontId="10" fillId="2" borderId="1" xfId="4" applyNumberFormat="1" applyFont="1" applyFill="1" applyBorder="1" applyAlignment="1">
      <alignment horizontal="right" vertical="center"/>
    </xf>
    <xf numFmtId="9" fontId="10" fillId="2" borderId="1" xfId="4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/>
    </xf>
    <xf numFmtId="2" fontId="8" fillId="2" borderId="11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4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5">
    <cellStyle name="Normal" xfId="1"/>
    <cellStyle name="百分比" xfId="4" builtinId="5"/>
    <cellStyle name="常规" xfId="0" builtinId="0"/>
    <cellStyle name="常规 3" xfId="3"/>
    <cellStyle name="常规 6_江西三缘涂料科技有限公司（彭常龙）" xfId="2"/>
  </cellStyles>
  <dxfs count="0"/>
  <tableStyles count="0" defaultTableStyle="TableStyleMedium2" defaultPivotStyle="PivotStyleLight16"/>
  <colors>
    <mruColors>
      <color rgb="FFE717D6"/>
      <color rgb="FFF027E4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84"/>
  <sheetViews>
    <sheetView view="pageBreakPreview" topLeftCell="A5" zoomScaleNormal="100" workbookViewId="0">
      <selection activeCell="D8" sqref="D8"/>
    </sheetView>
  </sheetViews>
  <sheetFormatPr defaultColWidth="9" defaultRowHeight="14"/>
  <cols>
    <col min="1" max="1" width="7.75" customWidth="1"/>
    <col min="2" max="2" width="15.4140625" customWidth="1"/>
    <col min="3" max="3" width="37.1640625" customWidth="1"/>
    <col min="6" max="6" width="14.08203125"/>
  </cols>
  <sheetData>
    <row r="1" spans="1:3" ht="58" customHeight="1">
      <c r="A1" s="105" t="s">
        <v>165</v>
      </c>
      <c r="B1" s="105"/>
      <c r="C1" s="105"/>
    </row>
    <row r="2" spans="1:3" ht="29" customHeight="1">
      <c r="A2" s="1" t="s">
        <v>0</v>
      </c>
      <c r="B2" s="1" t="s">
        <v>1</v>
      </c>
      <c r="C2" s="2" t="s">
        <v>2</v>
      </c>
    </row>
    <row r="3" spans="1:3" ht="50" customHeight="1">
      <c r="A3" s="3">
        <v>1</v>
      </c>
      <c r="B3" s="4" t="s">
        <v>164</v>
      </c>
      <c r="C3" s="5">
        <f>车间2!K46</f>
        <v>0</v>
      </c>
    </row>
    <row r="4" spans="1:3" ht="50" customHeight="1">
      <c r="A4" s="3">
        <v>2</v>
      </c>
      <c r="B4" s="4" t="s">
        <v>166</v>
      </c>
      <c r="C4" s="5">
        <f>车间3!K45</f>
        <v>0</v>
      </c>
    </row>
    <row r="5" spans="1:3" ht="50" customHeight="1">
      <c r="A5" s="3">
        <v>3</v>
      </c>
      <c r="B5" s="4" t="s">
        <v>167</v>
      </c>
      <c r="C5" s="7">
        <f>车间4!K55</f>
        <v>0</v>
      </c>
    </row>
    <row r="6" spans="1:3" ht="50" customHeight="1">
      <c r="A6" s="3">
        <v>4</v>
      </c>
      <c r="B6" s="4" t="s">
        <v>168</v>
      </c>
      <c r="C6" s="7">
        <f>研发车间!K23</f>
        <v>0</v>
      </c>
    </row>
    <row r="7" spans="1:3" ht="50" customHeight="1">
      <c r="A7" s="3">
        <v>5</v>
      </c>
      <c r="B7" s="6" t="s">
        <v>169</v>
      </c>
      <c r="C7" s="7">
        <f>独立辅房!K4</f>
        <v>0</v>
      </c>
    </row>
    <row r="8" spans="1:3" ht="50" customHeight="1">
      <c r="A8" s="3">
        <v>6</v>
      </c>
      <c r="B8" s="6" t="s">
        <v>170</v>
      </c>
      <c r="C8" s="7">
        <f>门卫!K17</f>
        <v>0</v>
      </c>
    </row>
    <row r="9" spans="1:3" ht="50" customHeight="1">
      <c r="A9" s="3">
        <v>7</v>
      </c>
      <c r="B9" s="6" t="s">
        <v>5</v>
      </c>
      <c r="C9" s="7">
        <f>SUM(C3:C8)</f>
        <v>0</v>
      </c>
    </row>
    <row r="19" ht="32" customHeight="1"/>
    <row r="22" ht="33" customHeight="1"/>
    <row r="43" ht="40" customHeight="1"/>
    <row r="53" ht="28" customHeight="1"/>
    <row r="54" ht="25" customHeight="1"/>
    <row r="55" ht="25" customHeight="1"/>
    <row r="56" ht="25" customHeight="1"/>
    <row r="57" ht="25" customHeight="1"/>
    <row r="58" ht="25" customHeight="1"/>
    <row r="59" ht="32" customHeight="1"/>
    <row r="60" ht="39" customHeight="1"/>
    <row r="61" ht="38" customHeight="1"/>
    <row r="62" ht="38" customHeight="1"/>
    <row r="63" ht="61" customHeight="1"/>
    <row r="64" ht="45" customHeight="1"/>
    <row r="65" ht="45" customHeight="1"/>
    <row r="66" ht="37" customHeight="1"/>
    <row r="67" ht="24" customHeight="1"/>
    <row r="68" ht="33" customHeight="1"/>
    <row r="69" ht="33" customHeight="1"/>
    <row r="71" ht="28" customHeight="1"/>
    <row r="72" ht="36" customHeight="1"/>
    <row r="75" ht="46" customHeight="1"/>
    <row r="76" ht="46" customHeight="1"/>
    <row r="77" ht="46" customHeight="1"/>
    <row r="78" ht="46" customHeight="1"/>
    <row r="79" ht="46" customHeight="1"/>
    <row r="80" ht="46" customHeight="1"/>
    <row r="81" ht="46" customHeight="1"/>
    <row r="82" ht="46" customHeight="1"/>
    <row r="83" ht="46" customHeight="1"/>
    <row r="84" ht="46" customHeight="1"/>
  </sheetData>
  <mergeCells count="1">
    <mergeCell ref="A1:C1"/>
  </mergeCells>
  <phoneticPr fontId="5" type="noConversion"/>
  <pageMargins left="0.30694444444444402" right="0.30694444444444402" top="0.55486111111111103" bottom="0.55486111111111103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C47"/>
  <sheetViews>
    <sheetView view="pageBreakPreview" zoomScale="90" zoomScaleNormal="100" zoomScaleSheetLayoutView="90" workbookViewId="0">
      <pane xSplit="4" ySplit="4" topLeftCell="E45" activePane="bottomRight" state="frozen"/>
      <selection pane="topRight"/>
      <selection pane="bottomLeft"/>
      <selection pane="bottomRight" activeCell="A48" sqref="A48"/>
    </sheetView>
  </sheetViews>
  <sheetFormatPr defaultColWidth="9" defaultRowHeight="18" customHeight="1"/>
  <cols>
    <col min="1" max="1" width="5.25" style="23" customWidth="1"/>
    <col min="2" max="2" width="10" style="24" customWidth="1"/>
    <col min="3" max="3" width="41.5" style="23" customWidth="1"/>
    <col min="4" max="4" width="4.9140625" style="23" customWidth="1"/>
    <col min="5" max="5" width="9.83203125" style="25" customWidth="1"/>
    <col min="6" max="6" width="10.6640625" style="26" customWidth="1"/>
    <col min="7" max="8" width="9.9140625" style="23" customWidth="1"/>
    <col min="9" max="9" width="10.6640625" style="23" customWidth="1"/>
    <col min="10" max="10" width="8.6640625" style="23" customWidth="1"/>
    <col min="11" max="11" width="14.08203125" style="79" customWidth="1"/>
    <col min="12" max="12" width="31.4140625" style="23" customWidth="1"/>
    <col min="13" max="16384" width="9" style="8"/>
  </cols>
  <sheetData>
    <row r="1" spans="1:13" ht="18" customHeight="1">
      <c r="A1" s="110" t="s">
        <v>144</v>
      </c>
      <c r="B1" s="111"/>
      <c r="C1" s="110"/>
      <c r="D1" s="110"/>
      <c r="E1" s="110"/>
      <c r="F1" s="110"/>
      <c r="G1" s="110"/>
      <c r="H1" s="110"/>
      <c r="I1" s="110"/>
      <c r="J1" s="110"/>
      <c r="K1" s="112"/>
      <c r="L1" s="110"/>
    </row>
    <row r="2" spans="1:13" ht="28.5" customHeight="1">
      <c r="A2" s="113" t="s">
        <v>0</v>
      </c>
      <c r="B2" s="106" t="s">
        <v>6</v>
      </c>
      <c r="C2" s="106" t="s">
        <v>7</v>
      </c>
      <c r="D2" s="113" t="s">
        <v>8</v>
      </c>
      <c r="E2" s="109" t="s">
        <v>9</v>
      </c>
      <c r="F2" s="109" t="s">
        <v>10</v>
      </c>
      <c r="G2" s="109"/>
      <c r="H2" s="109"/>
      <c r="I2" s="109"/>
      <c r="J2" s="109"/>
      <c r="K2" s="114" t="s">
        <v>11</v>
      </c>
      <c r="L2" s="113" t="s">
        <v>3</v>
      </c>
    </row>
    <row r="3" spans="1:13" ht="45" customHeight="1">
      <c r="A3" s="113"/>
      <c r="B3" s="106"/>
      <c r="C3" s="106"/>
      <c r="D3" s="113"/>
      <c r="E3" s="109"/>
      <c r="F3" s="10" t="s">
        <v>181</v>
      </c>
      <c r="G3" s="10" t="s">
        <v>12</v>
      </c>
      <c r="H3" s="10" t="s">
        <v>13</v>
      </c>
      <c r="I3" s="10" t="s">
        <v>14</v>
      </c>
      <c r="J3" s="10" t="s">
        <v>15</v>
      </c>
      <c r="K3" s="114"/>
      <c r="L3" s="113"/>
    </row>
    <row r="4" spans="1:13" ht="27" customHeight="1">
      <c r="A4" s="37" t="s">
        <v>16</v>
      </c>
      <c r="B4" s="12" t="s">
        <v>17</v>
      </c>
      <c r="C4" s="13"/>
      <c r="D4" s="37"/>
      <c r="E4" s="14"/>
      <c r="F4" s="38"/>
      <c r="G4" s="38"/>
      <c r="H4" s="38"/>
      <c r="I4" s="38"/>
      <c r="J4" s="38"/>
      <c r="K4" s="84">
        <f>SUM(K5:K23)</f>
        <v>0</v>
      </c>
      <c r="L4" s="37"/>
    </row>
    <row r="5" spans="1:13" ht="79.5" customHeight="1">
      <c r="A5" s="37">
        <v>1</v>
      </c>
      <c r="B5" s="27" t="s">
        <v>42</v>
      </c>
      <c r="C5" s="27" t="s">
        <v>78</v>
      </c>
      <c r="D5" s="37" t="s">
        <v>18</v>
      </c>
      <c r="E5" s="14">
        <v>384.18</v>
      </c>
      <c r="F5" s="38"/>
      <c r="G5" s="38"/>
      <c r="H5" s="38"/>
      <c r="I5" s="38"/>
      <c r="J5" s="38">
        <f>SUM(F5:I5)</f>
        <v>0</v>
      </c>
      <c r="K5" s="84">
        <f>J5*E5</f>
        <v>0</v>
      </c>
      <c r="L5" s="106" t="s">
        <v>19</v>
      </c>
    </row>
    <row r="6" spans="1:13" ht="81.5" customHeight="1">
      <c r="A6" s="37">
        <v>2</v>
      </c>
      <c r="B6" s="27" t="s">
        <v>145</v>
      </c>
      <c r="C6" s="27" t="s">
        <v>146</v>
      </c>
      <c r="D6" s="37" t="s">
        <v>18</v>
      </c>
      <c r="E6" s="14">
        <v>1.48</v>
      </c>
      <c r="F6" s="82"/>
      <c r="G6" s="82"/>
      <c r="H6" s="82"/>
      <c r="I6" s="82"/>
      <c r="J6" s="38">
        <f>SUM(F6:I6)</f>
        <v>0</v>
      </c>
      <c r="K6" s="84">
        <f t="shared" ref="K6:K40" si="0">J6*E6</f>
        <v>0</v>
      </c>
      <c r="L6" s="106"/>
    </row>
    <row r="7" spans="1:13" ht="80.5" customHeight="1">
      <c r="A7" s="37">
        <v>3</v>
      </c>
      <c r="B7" s="12" t="s">
        <v>66</v>
      </c>
      <c r="C7" s="12" t="s">
        <v>80</v>
      </c>
      <c r="D7" s="37" t="s">
        <v>18</v>
      </c>
      <c r="E7" s="14">
        <v>182.04</v>
      </c>
      <c r="F7" s="82"/>
      <c r="G7" s="82"/>
      <c r="H7" s="82"/>
      <c r="I7" s="82"/>
      <c r="J7" s="38">
        <f t="shared" ref="J7:J39" si="1">SUM(F7:I7)</f>
        <v>0</v>
      </c>
      <c r="K7" s="84">
        <f t="shared" si="0"/>
        <v>0</v>
      </c>
      <c r="L7" s="106"/>
    </row>
    <row r="8" spans="1:13" ht="77" customHeight="1">
      <c r="A8" s="37">
        <v>4</v>
      </c>
      <c r="B8" s="12" t="s">
        <v>100</v>
      </c>
      <c r="C8" s="27" t="s">
        <v>101</v>
      </c>
      <c r="D8" s="37" t="s">
        <v>18</v>
      </c>
      <c r="E8" s="14">
        <v>16.350000000000001</v>
      </c>
      <c r="F8" s="38"/>
      <c r="G8" s="82"/>
      <c r="H8" s="82"/>
      <c r="I8" s="82"/>
      <c r="J8" s="38">
        <f t="shared" si="1"/>
        <v>0</v>
      </c>
      <c r="K8" s="84">
        <f t="shared" si="0"/>
        <v>0</v>
      </c>
      <c r="L8" s="106"/>
    </row>
    <row r="9" spans="1:13" ht="90" customHeight="1">
      <c r="A9" s="37">
        <v>5</v>
      </c>
      <c r="B9" s="12" t="s">
        <v>33</v>
      </c>
      <c r="C9" s="27" t="s">
        <v>82</v>
      </c>
      <c r="D9" s="37" t="s">
        <v>18</v>
      </c>
      <c r="E9" s="14">
        <v>409</v>
      </c>
      <c r="F9" s="82"/>
      <c r="G9" s="82"/>
      <c r="H9" s="82"/>
      <c r="I9" s="82"/>
      <c r="J9" s="38">
        <f t="shared" si="1"/>
        <v>0</v>
      </c>
      <c r="K9" s="84">
        <f t="shared" si="0"/>
        <v>0</v>
      </c>
      <c r="L9" s="106"/>
    </row>
    <row r="10" spans="1:13" ht="97" customHeight="1">
      <c r="A10" s="37">
        <v>6</v>
      </c>
      <c r="B10" s="12" t="s">
        <v>67</v>
      </c>
      <c r="C10" s="27" t="s">
        <v>83</v>
      </c>
      <c r="D10" s="37" t="s">
        <v>18</v>
      </c>
      <c r="E10" s="14">
        <v>31.25</v>
      </c>
      <c r="F10" s="82"/>
      <c r="G10" s="82"/>
      <c r="H10" s="82"/>
      <c r="I10" s="82"/>
      <c r="J10" s="38">
        <f>SUM(F10:I10)</f>
        <v>0</v>
      </c>
      <c r="K10" s="84">
        <f t="shared" si="0"/>
        <v>0</v>
      </c>
      <c r="L10" s="106"/>
    </row>
    <row r="11" spans="1:13" ht="81.5" customHeight="1">
      <c r="A11" s="37">
        <v>7</v>
      </c>
      <c r="B11" s="12" t="s">
        <v>68</v>
      </c>
      <c r="C11" s="12" t="s">
        <v>84</v>
      </c>
      <c r="D11" s="37" t="s">
        <v>18</v>
      </c>
      <c r="E11" s="14">
        <v>3.77</v>
      </c>
      <c r="F11" s="82"/>
      <c r="G11" s="82"/>
      <c r="H11" s="82"/>
      <c r="I11" s="82"/>
      <c r="J11" s="38">
        <f t="shared" si="1"/>
        <v>0</v>
      </c>
      <c r="K11" s="84">
        <f t="shared" si="0"/>
        <v>0</v>
      </c>
      <c r="L11" s="106"/>
    </row>
    <row r="12" spans="1:13" ht="91" customHeight="1">
      <c r="A12" s="37">
        <v>8</v>
      </c>
      <c r="B12" s="12" t="s">
        <v>152</v>
      </c>
      <c r="C12" s="12" t="s">
        <v>95</v>
      </c>
      <c r="D12" s="37" t="s">
        <v>18</v>
      </c>
      <c r="E12" s="14">
        <f>5.2+1.61+19.3+3.07</f>
        <v>29.18</v>
      </c>
      <c r="F12" s="38"/>
      <c r="G12" s="82"/>
      <c r="H12" s="82"/>
      <c r="I12" s="82"/>
      <c r="J12" s="38">
        <f t="shared" si="1"/>
        <v>0</v>
      </c>
      <c r="K12" s="84">
        <f t="shared" si="0"/>
        <v>0</v>
      </c>
      <c r="L12" s="106"/>
      <c r="M12" s="28"/>
    </row>
    <row r="13" spans="1:13" ht="87" customHeight="1">
      <c r="A13" s="37">
        <v>9</v>
      </c>
      <c r="B13" s="12" t="s">
        <v>182</v>
      </c>
      <c r="C13" s="12" t="s">
        <v>92</v>
      </c>
      <c r="D13" s="37" t="s">
        <v>18</v>
      </c>
      <c r="E13" s="14">
        <v>56.81</v>
      </c>
      <c r="F13" s="38"/>
      <c r="G13" s="82"/>
      <c r="H13" s="82"/>
      <c r="I13" s="82"/>
      <c r="J13" s="38">
        <f t="shared" si="1"/>
        <v>0</v>
      </c>
      <c r="K13" s="84">
        <f t="shared" si="0"/>
        <v>0</v>
      </c>
      <c r="L13" s="106"/>
    </row>
    <row r="14" spans="1:13" ht="83" customHeight="1">
      <c r="A14" s="59">
        <v>10</v>
      </c>
      <c r="B14" s="12" t="s">
        <v>34</v>
      </c>
      <c r="C14" s="12" t="s">
        <v>88</v>
      </c>
      <c r="D14" s="37" t="s">
        <v>18</v>
      </c>
      <c r="E14" s="14">
        <v>73.8</v>
      </c>
      <c r="F14" s="82"/>
      <c r="G14" s="82"/>
      <c r="H14" s="82"/>
      <c r="I14" s="82"/>
      <c r="J14" s="38">
        <f t="shared" si="1"/>
        <v>0</v>
      </c>
      <c r="K14" s="84">
        <f t="shared" si="0"/>
        <v>0</v>
      </c>
      <c r="L14" s="106"/>
    </row>
    <row r="15" spans="1:13" ht="86" customHeight="1">
      <c r="A15" s="59">
        <v>11</v>
      </c>
      <c r="B15" s="12" t="s">
        <v>98</v>
      </c>
      <c r="C15" s="12" t="s">
        <v>99</v>
      </c>
      <c r="D15" s="37" t="s">
        <v>18</v>
      </c>
      <c r="E15" s="14">
        <v>31.14</v>
      </c>
      <c r="F15" s="82"/>
      <c r="G15" s="38"/>
      <c r="H15" s="38"/>
      <c r="I15" s="82"/>
      <c r="J15" s="82">
        <f t="shared" si="1"/>
        <v>0</v>
      </c>
      <c r="K15" s="84">
        <f t="shared" si="0"/>
        <v>0</v>
      </c>
      <c r="L15" s="106"/>
    </row>
    <row r="16" spans="1:13" ht="80.5" customHeight="1">
      <c r="A16" s="59">
        <v>12</v>
      </c>
      <c r="B16" s="12" t="s">
        <v>141</v>
      </c>
      <c r="C16" s="12" t="s">
        <v>87</v>
      </c>
      <c r="D16" s="37" t="s">
        <v>18</v>
      </c>
      <c r="E16" s="14">
        <f>1.74+34.93</f>
        <v>36.67</v>
      </c>
      <c r="F16" s="82"/>
      <c r="G16" s="82"/>
      <c r="H16" s="82"/>
      <c r="I16" s="82"/>
      <c r="J16" s="38">
        <f t="shared" si="1"/>
        <v>0</v>
      </c>
      <c r="K16" s="84">
        <f t="shared" si="0"/>
        <v>0</v>
      </c>
      <c r="L16" s="106"/>
    </row>
    <row r="17" spans="1:13 16314:16331" ht="86.5" customHeight="1">
      <c r="A17" s="72">
        <v>13</v>
      </c>
      <c r="B17" s="73" t="s">
        <v>226</v>
      </c>
      <c r="C17" s="12" t="s">
        <v>227</v>
      </c>
      <c r="D17" s="70" t="s">
        <v>18</v>
      </c>
      <c r="E17" s="80">
        <f>24.212+2</f>
        <v>26.212</v>
      </c>
      <c r="F17" s="82"/>
      <c r="G17" s="82"/>
      <c r="H17" s="82"/>
      <c r="I17" s="82"/>
      <c r="J17" s="82">
        <f t="shared" ref="J17" si="2">SUM(F17:I17)</f>
        <v>0</v>
      </c>
      <c r="K17" s="84">
        <f t="shared" ref="K17" si="3">J17*E17</f>
        <v>0</v>
      </c>
      <c r="L17" s="71"/>
    </row>
    <row r="18" spans="1:13 16314:16331" ht="72" customHeight="1">
      <c r="A18" s="59">
        <v>14</v>
      </c>
      <c r="B18" s="12" t="s">
        <v>36</v>
      </c>
      <c r="C18" s="12" t="s">
        <v>89</v>
      </c>
      <c r="D18" s="37" t="s">
        <v>18</v>
      </c>
      <c r="E18" s="14">
        <v>120.43</v>
      </c>
      <c r="F18" s="82"/>
      <c r="G18" s="82"/>
      <c r="H18" s="82"/>
      <c r="I18" s="82"/>
      <c r="J18" s="38">
        <f t="shared" si="1"/>
        <v>0</v>
      </c>
      <c r="K18" s="84">
        <f t="shared" si="0"/>
        <v>0</v>
      </c>
      <c r="L18" s="36" t="s">
        <v>20</v>
      </c>
    </row>
    <row r="19" spans="1:13 16314:16331" ht="76.5" customHeight="1">
      <c r="A19" s="59">
        <v>15</v>
      </c>
      <c r="B19" s="12" t="s">
        <v>35</v>
      </c>
      <c r="C19" s="12" t="s">
        <v>89</v>
      </c>
      <c r="D19" s="37" t="s">
        <v>18</v>
      </c>
      <c r="E19" s="14">
        <v>172.27</v>
      </c>
      <c r="F19" s="82"/>
      <c r="G19" s="82"/>
      <c r="H19" s="82"/>
      <c r="I19" s="82"/>
      <c r="J19" s="38">
        <f t="shared" si="1"/>
        <v>0</v>
      </c>
      <c r="K19" s="84">
        <f t="shared" si="0"/>
        <v>0</v>
      </c>
      <c r="L19" s="36" t="s">
        <v>20</v>
      </c>
    </row>
    <row r="20" spans="1:13 16314:16331" ht="49.5" customHeight="1">
      <c r="A20" s="59">
        <v>16</v>
      </c>
      <c r="B20" s="12" t="s">
        <v>43</v>
      </c>
      <c r="C20" s="12" t="s">
        <v>201</v>
      </c>
      <c r="D20" s="37" t="s">
        <v>18</v>
      </c>
      <c r="E20" s="14">
        <f>E5+E14+E6</f>
        <v>459.46000000000004</v>
      </c>
      <c r="F20" s="38"/>
      <c r="G20" s="38"/>
      <c r="H20" s="38"/>
      <c r="I20" s="38"/>
      <c r="J20" s="38">
        <f t="shared" si="1"/>
        <v>0</v>
      </c>
      <c r="K20" s="84">
        <f t="shared" si="0"/>
        <v>0</v>
      </c>
      <c r="L20" s="36" t="s">
        <v>21</v>
      </c>
    </row>
    <row r="21" spans="1:13 16314:16331" ht="48.5" customHeight="1">
      <c r="A21" s="59">
        <v>17</v>
      </c>
      <c r="B21" s="12" t="s">
        <v>44</v>
      </c>
      <c r="C21" s="12" t="s">
        <v>202</v>
      </c>
      <c r="D21" s="37" t="s">
        <v>18</v>
      </c>
      <c r="E21" s="14">
        <f>E7+E8+E9+E10+E11+E13+E16</f>
        <v>735.89</v>
      </c>
      <c r="F21" s="38"/>
      <c r="G21" s="38"/>
      <c r="H21" s="38"/>
      <c r="I21" s="82"/>
      <c r="J21" s="38">
        <f t="shared" si="1"/>
        <v>0</v>
      </c>
      <c r="K21" s="84">
        <f t="shared" si="0"/>
        <v>0</v>
      </c>
      <c r="L21" s="36" t="s">
        <v>21</v>
      </c>
    </row>
    <row r="22" spans="1:13 16314:16331" ht="52.5" customHeight="1">
      <c r="A22" s="90">
        <v>18</v>
      </c>
      <c r="B22" s="12" t="s">
        <v>142</v>
      </c>
      <c r="C22" s="12" t="s">
        <v>203</v>
      </c>
      <c r="D22" s="90" t="s">
        <v>18</v>
      </c>
      <c r="E22" s="14">
        <f>E17</f>
        <v>26.212</v>
      </c>
      <c r="F22" s="89"/>
      <c r="G22" s="89"/>
      <c r="H22" s="89"/>
      <c r="I22" s="89"/>
      <c r="J22" s="89">
        <f t="shared" ref="J22" si="4">SUM(F22:I22)</f>
        <v>0</v>
      </c>
      <c r="K22" s="84">
        <f t="shared" ref="K22" si="5">J22*E22</f>
        <v>0</v>
      </c>
      <c r="L22" s="88" t="s">
        <v>21</v>
      </c>
    </row>
    <row r="23" spans="1:13 16314:16331" ht="52.5" customHeight="1">
      <c r="A23" s="59">
        <v>19</v>
      </c>
      <c r="B23" s="12" t="s">
        <v>142</v>
      </c>
      <c r="C23" s="12" t="s">
        <v>204</v>
      </c>
      <c r="D23" s="37" t="s">
        <v>18</v>
      </c>
      <c r="E23" s="14">
        <f>E15</f>
        <v>31.14</v>
      </c>
      <c r="F23" s="38"/>
      <c r="G23" s="38"/>
      <c r="H23" s="38"/>
      <c r="I23" s="82"/>
      <c r="J23" s="38">
        <f t="shared" ref="J23" si="6">SUM(F23:I23)</f>
        <v>0</v>
      </c>
      <c r="K23" s="84">
        <f t="shared" si="0"/>
        <v>0</v>
      </c>
      <c r="L23" s="36" t="s">
        <v>21</v>
      </c>
    </row>
    <row r="24" spans="1:13 16314:16331" s="16" customFormat="1" ht="27" customHeight="1">
      <c r="A24" s="37" t="s">
        <v>25</v>
      </c>
      <c r="B24" s="12" t="s">
        <v>55</v>
      </c>
      <c r="C24" s="13"/>
      <c r="D24" s="37"/>
      <c r="E24" s="14"/>
      <c r="F24" s="38"/>
      <c r="G24" s="38"/>
      <c r="H24" s="38"/>
      <c r="I24" s="38"/>
      <c r="J24" s="38">
        <f t="shared" si="1"/>
        <v>0</v>
      </c>
      <c r="K24" s="84">
        <f>SUM(K25:K32)</f>
        <v>0</v>
      </c>
      <c r="L24" s="37"/>
    </row>
    <row r="25" spans="1:13 16314:16331" s="16" customFormat="1" ht="46" customHeight="1">
      <c r="A25" s="74">
        <v>20</v>
      </c>
      <c r="B25" s="12" t="s">
        <v>26</v>
      </c>
      <c r="C25" s="12" t="s">
        <v>191</v>
      </c>
      <c r="D25" s="37" t="s">
        <v>4</v>
      </c>
      <c r="E25" s="14">
        <f>137.7+137.7</f>
        <v>275.39999999999998</v>
      </c>
      <c r="F25" s="38"/>
      <c r="G25" s="82"/>
      <c r="H25" s="82"/>
      <c r="I25" s="82"/>
      <c r="J25" s="38">
        <f t="shared" si="1"/>
        <v>0</v>
      </c>
      <c r="K25" s="84">
        <f t="shared" si="0"/>
        <v>0</v>
      </c>
      <c r="L25" s="36" t="s">
        <v>20</v>
      </c>
    </row>
    <row r="26" spans="1:13 16314:16331" s="16" customFormat="1" ht="72.5" customHeight="1">
      <c r="A26" s="74">
        <v>21</v>
      </c>
      <c r="B26" s="12" t="s">
        <v>37</v>
      </c>
      <c r="C26" s="12" t="s">
        <v>200</v>
      </c>
      <c r="D26" s="37" t="s">
        <v>4</v>
      </c>
      <c r="E26" s="14">
        <v>8671.52</v>
      </c>
      <c r="F26" s="82"/>
      <c r="G26" s="82"/>
      <c r="H26" s="82"/>
      <c r="I26" s="82"/>
      <c r="J26" s="38">
        <f t="shared" si="1"/>
        <v>0</v>
      </c>
      <c r="K26" s="84">
        <f t="shared" si="0"/>
        <v>0</v>
      </c>
      <c r="L26" s="36" t="s">
        <v>27</v>
      </c>
      <c r="M26" s="85"/>
    </row>
    <row r="27" spans="1:13 16314:16331" ht="41.5" customHeight="1">
      <c r="A27" s="90">
        <v>22</v>
      </c>
      <c r="B27" s="12" t="s">
        <v>221</v>
      </c>
      <c r="C27" s="12" t="s">
        <v>220</v>
      </c>
      <c r="D27" s="37" t="s">
        <v>4</v>
      </c>
      <c r="E27" s="14">
        <v>414.62</v>
      </c>
      <c r="F27" s="82"/>
      <c r="G27" s="82"/>
      <c r="H27" s="82"/>
      <c r="I27" s="82"/>
      <c r="J27" s="38">
        <f t="shared" si="1"/>
        <v>0</v>
      </c>
      <c r="K27" s="84">
        <f t="shared" si="0"/>
        <v>0</v>
      </c>
      <c r="L27" s="36" t="s">
        <v>20</v>
      </c>
    </row>
    <row r="28" spans="1:13 16314:16331" ht="41.5" customHeight="1">
      <c r="A28" s="90">
        <v>23</v>
      </c>
      <c r="B28" s="12" t="s">
        <v>222</v>
      </c>
      <c r="C28" s="12" t="s">
        <v>223</v>
      </c>
      <c r="D28" s="90" t="s">
        <v>4</v>
      </c>
      <c r="E28" s="14">
        <f>1461.84+40.7-E27</f>
        <v>1087.92</v>
      </c>
      <c r="F28" s="89"/>
      <c r="G28" s="89"/>
      <c r="H28" s="89"/>
      <c r="I28" s="89"/>
      <c r="J28" s="89">
        <f t="shared" ref="J28" si="7">SUM(F28:I28)</f>
        <v>0</v>
      </c>
      <c r="K28" s="84">
        <f t="shared" ref="K28" si="8">J28*E28</f>
        <v>0</v>
      </c>
      <c r="L28" s="88" t="s">
        <v>20</v>
      </c>
    </row>
    <row r="29" spans="1:13 16314:16331" ht="35" customHeight="1">
      <c r="A29" s="90">
        <v>24</v>
      </c>
      <c r="B29" s="66" t="s">
        <v>176</v>
      </c>
      <c r="C29" s="67" t="s">
        <v>190</v>
      </c>
      <c r="D29" s="37" t="s">
        <v>22</v>
      </c>
      <c r="E29" s="81">
        <v>716.65</v>
      </c>
      <c r="F29" s="38"/>
      <c r="G29" s="38"/>
      <c r="H29" s="38"/>
      <c r="I29" s="38"/>
      <c r="J29" s="38">
        <f t="shared" ref="J29" si="9">SUM(F29:I29)</f>
        <v>0</v>
      </c>
      <c r="K29" s="84">
        <f t="shared" si="0"/>
        <v>0</v>
      </c>
      <c r="L29" s="36" t="s">
        <v>27</v>
      </c>
      <c r="XCL29" s="29"/>
      <c r="XCM29" s="29"/>
      <c r="XCN29" s="29"/>
      <c r="XCO29" s="29"/>
      <c r="XCP29" s="29"/>
      <c r="XCQ29" s="29"/>
      <c r="XCR29" s="29"/>
      <c r="XCS29" s="29"/>
      <c r="XCT29" s="29"/>
      <c r="XCU29" s="29"/>
      <c r="XCV29" s="29"/>
      <c r="XCW29" s="29"/>
      <c r="XCX29" s="29"/>
      <c r="XCY29" s="29"/>
      <c r="XCZ29" s="29"/>
      <c r="XDA29" s="29"/>
      <c r="XDB29" s="29"/>
      <c r="XDC29" s="29"/>
    </row>
    <row r="30" spans="1:13 16314:16331" ht="44" customHeight="1">
      <c r="A30" s="90">
        <v>25</v>
      </c>
      <c r="B30" s="66" t="s">
        <v>178</v>
      </c>
      <c r="C30" s="68" t="s">
        <v>215</v>
      </c>
      <c r="D30" s="37" t="s">
        <v>28</v>
      </c>
      <c r="E30" s="81">
        <v>38</v>
      </c>
      <c r="F30" s="38"/>
      <c r="G30" s="38"/>
      <c r="H30" s="38"/>
      <c r="I30" s="38"/>
      <c r="J30" s="38">
        <f>SUM(F30:I30)</f>
        <v>0</v>
      </c>
      <c r="K30" s="84">
        <f t="shared" si="0"/>
        <v>0</v>
      </c>
      <c r="L30" s="36" t="s">
        <v>27</v>
      </c>
      <c r="XCL30" s="29"/>
      <c r="XCM30" s="29"/>
      <c r="XCN30" s="29"/>
      <c r="XCO30" s="29"/>
      <c r="XCP30" s="29"/>
      <c r="XCQ30" s="29"/>
      <c r="XCR30" s="29"/>
      <c r="XCS30" s="29"/>
      <c r="XCT30" s="29"/>
      <c r="XCU30" s="29"/>
      <c r="XCV30" s="29"/>
      <c r="XCW30" s="29"/>
      <c r="XCX30" s="29"/>
      <c r="XCY30" s="29"/>
      <c r="XCZ30" s="29"/>
      <c r="XDA30" s="29"/>
      <c r="XDB30" s="29"/>
      <c r="XDC30" s="29"/>
    </row>
    <row r="31" spans="1:13 16314:16331" ht="41.5" customHeight="1">
      <c r="A31" s="90">
        <v>26</v>
      </c>
      <c r="B31" s="12" t="s">
        <v>29</v>
      </c>
      <c r="C31" s="12" t="s">
        <v>205</v>
      </c>
      <c r="D31" s="37" t="s">
        <v>47</v>
      </c>
      <c r="E31" s="14">
        <v>505.4</v>
      </c>
      <c r="F31" s="38"/>
      <c r="G31" s="38"/>
      <c r="H31" s="38"/>
      <c r="I31" s="38"/>
      <c r="J31" s="38">
        <f t="shared" si="1"/>
        <v>0</v>
      </c>
      <c r="K31" s="84">
        <f t="shared" si="0"/>
        <v>0</v>
      </c>
      <c r="L31" s="36" t="s">
        <v>27</v>
      </c>
    </row>
    <row r="32" spans="1:13 16314:16331" ht="41.5" customHeight="1">
      <c r="A32" s="90">
        <v>27</v>
      </c>
      <c r="B32" s="73" t="s">
        <v>206</v>
      </c>
      <c r="C32" s="73" t="s">
        <v>207</v>
      </c>
      <c r="D32" s="72" t="s">
        <v>208</v>
      </c>
      <c r="E32" s="80">
        <v>24</v>
      </c>
      <c r="F32" s="93"/>
      <c r="G32" s="93"/>
      <c r="H32" s="93"/>
      <c r="I32" s="93"/>
      <c r="J32" s="93"/>
      <c r="K32" s="94"/>
      <c r="L32" s="91"/>
    </row>
    <row r="33" spans="1:12" s="16" customFormat="1" ht="36.5" customHeight="1">
      <c r="A33" s="37" t="s">
        <v>30</v>
      </c>
      <c r="B33" s="12" t="s">
        <v>50</v>
      </c>
      <c r="C33" s="13"/>
      <c r="D33" s="37"/>
      <c r="E33" s="14"/>
      <c r="F33" s="38"/>
      <c r="G33" s="38"/>
      <c r="H33" s="38"/>
      <c r="I33" s="38"/>
      <c r="J33" s="38">
        <f t="shared" si="1"/>
        <v>0</v>
      </c>
      <c r="K33" s="84">
        <f>SUM(K34:K40)</f>
        <v>0</v>
      </c>
      <c r="L33" s="36"/>
    </row>
    <row r="34" spans="1:12" s="16" customFormat="1" ht="36.5" customHeight="1">
      <c r="A34" s="37">
        <v>28</v>
      </c>
      <c r="B34" s="12" t="s">
        <v>41</v>
      </c>
      <c r="C34" s="12" t="s">
        <v>224</v>
      </c>
      <c r="D34" s="37" t="s">
        <v>4</v>
      </c>
      <c r="E34" s="14">
        <v>96</v>
      </c>
      <c r="F34" s="38"/>
      <c r="G34" s="38"/>
      <c r="H34" s="38"/>
      <c r="I34" s="38"/>
      <c r="J34" s="38">
        <f t="shared" si="1"/>
        <v>0</v>
      </c>
      <c r="K34" s="84">
        <f t="shared" si="0"/>
        <v>0</v>
      </c>
      <c r="L34" s="36" t="s">
        <v>27</v>
      </c>
    </row>
    <row r="35" spans="1:12" s="16" customFormat="1" ht="36.5" customHeight="1">
      <c r="A35" s="37">
        <v>29</v>
      </c>
      <c r="B35" s="12" t="s">
        <v>137</v>
      </c>
      <c r="C35" s="12" t="s">
        <v>174</v>
      </c>
      <c r="D35" s="37" t="s">
        <v>4</v>
      </c>
      <c r="E35" s="14">
        <v>432</v>
      </c>
      <c r="F35" s="38"/>
      <c r="G35" s="38"/>
      <c r="H35" s="38"/>
      <c r="I35" s="38"/>
      <c r="J35" s="38">
        <f t="shared" ref="J35:J36" si="10">SUM(F35:I35)</f>
        <v>0</v>
      </c>
      <c r="K35" s="84">
        <f t="shared" si="0"/>
        <v>0</v>
      </c>
      <c r="L35" s="36" t="s">
        <v>27</v>
      </c>
    </row>
    <row r="36" spans="1:12" s="16" customFormat="1" ht="36.5" customHeight="1">
      <c r="A36" s="90">
        <v>30</v>
      </c>
      <c r="B36" s="12" t="s">
        <v>147</v>
      </c>
      <c r="C36" s="12" t="s">
        <v>225</v>
      </c>
      <c r="D36" s="37" t="s">
        <v>4</v>
      </c>
      <c r="E36" s="14">
        <v>60</v>
      </c>
      <c r="F36" s="38"/>
      <c r="G36" s="38"/>
      <c r="H36" s="38"/>
      <c r="I36" s="38"/>
      <c r="J36" s="38">
        <f t="shared" si="10"/>
        <v>0</v>
      </c>
      <c r="K36" s="84">
        <f t="shared" si="0"/>
        <v>0</v>
      </c>
      <c r="L36" s="36" t="s">
        <v>27</v>
      </c>
    </row>
    <row r="37" spans="1:12" s="16" customFormat="1" ht="36.5" customHeight="1">
      <c r="A37" s="90">
        <v>31</v>
      </c>
      <c r="B37" s="12" t="s">
        <v>39</v>
      </c>
      <c r="C37" s="13" t="s">
        <v>40</v>
      </c>
      <c r="D37" s="37" t="s">
        <v>4</v>
      </c>
      <c r="E37" s="14">
        <v>8.1</v>
      </c>
      <c r="F37" s="38"/>
      <c r="G37" s="38"/>
      <c r="H37" s="38"/>
      <c r="I37" s="38"/>
      <c r="J37" s="38">
        <f t="shared" ref="J37" si="11">SUM(F37:I37)</f>
        <v>0</v>
      </c>
      <c r="K37" s="84">
        <f t="shared" si="0"/>
        <v>0</v>
      </c>
      <c r="L37" s="36" t="s">
        <v>31</v>
      </c>
    </row>
    <row r="38" spans="1:12" s="16" customFormat="1" ht="36.5" customHeight="1">
      <c r="A38" s="90">
        <v>32</v>
      </c>
      <c r="B38" s="12" t="s">
        <v>32</v>
      </c>
      <c r="C38" s="12" t="s">
        <v>233</v>
      </c>
      <c r="D38" s="37" t="s">
        <v>4</v>
      </c>
      <c r="E38" s="14">
        <f>199.2+156.7</f>
        <v>355.9</v>
      </c>
      <c r="F38" s="86"/>
      <c r="G38" s="86"/>
      <c r="H38" s="86"/>
      <c r="I38" s="86"/>
      <c r="J38" s="38">
        <f t="shared" si="1"/>
        <v>0</v>
      </c>
      <c r="K38" s="84">
        <f t="shared" si="0"/>
        <v>0</v>
      </c>
      <c r="L38" s="36" t="s">
        <v>20</v>
      </c>
    </row>
    <row r="39" spans="1:12" s="16" customFormat="1" ht="36.5" customHeight="1">
      <c r="A39" s="90">
        <v>33</v>
      </c>
      <c r="B39" s="12" t="s">
        <v>32</v>
      </c>
      <c r="C39" s="12" t="s">
        <v>234</v>
      </c>
      <c r="D39" s="37" t="s">
        <v>4</v>
      </c>
      <c r="E39" s="14">
        <f>340-156.8</f>
        <v>183.2</v>
      </c>
      <c r="F39" s="38"/>
      <c r="G39" s="38"/>
      <c r="H39" s="38"/>
      <c r="I39" s="38"/>
      <c r="J39" s="38">
        <f t="shared" si="1"/>
        <v>0</v>
      </c>
      <c r="K39" s="84">
        <f t="shared" si="0"/>
        <v>0</v>
      </c>
      <c r="L39" s="36" t="s">
        <v>20</v>
      </c>
    </row>
    <row r="40" spans="1:12" s="16" customFormat="1" ht="36.5" customHeight="1">
      <c r="A40" s="90">
        <v>34</v>
      </c>
      <c r="B40" s="12" t="s">
        <v>148</v>
      </c>
      <c r="C40" s="12" t="s">
        <v>214</v>
      </c>
      <c r="D40" s="37" t="s">
        <v>4</v>
      </c>
      <c r="E40" s="14">
        <v>142.4</v>
      </c>
      <c r="F40" s="38"/>
      <c r="G40" s="38"/>
      <c r="H40" s="38"/>
      <c r="I40" s="38"/>
      <c r="J40" s="38">
        <f t="shared" ref="J40" si="12">SUM(F40:I40)</f>
        <v>0</v>
      </c>
      <c r="K40" s="84">
        <f t="shared" si="0"/>
        <v>0</v>
      </c>
      <c r="L40" s="36" t="s">
        <v>20</v>
      </c>
    </row>
    <row r="41" spans="1:12" s="16" customFormat="1" ht="36.5" customHeight="1">
      <c r="A41" s="37" t="s">
        <v>57</v>
      </c>
      <c r="B41" s="12" t="s">
        <v>23</v>
      </c>
      <c r="C41" s="13"/>
      <c r="D41" s="37" t="s">
        <v>24</v>
      </c>
      <c r="E41" s="17"/>
      <c r="F41" s="18"/>
      <c r="G41" s="38"/>
      <c r="H41" s="38"/>
      <c r="I41" s="38"/>
      <c r="J41" s="19"/>
      <c r="K41" s="76">
        <f>K4+K24+K33</f>
        <v>0</v>
      </c>
      <c r="L41" s="19"/>
    </row>
    <row r="42" spans="1:12" s="16" customFormat="1" ht="36.5" customHeight="1">
      <c r="A42" s="37" t="s">
        <v>58</v>
      </c>
      <c r="B42" s="20" t="s">
        <v>194</v>
      </c>
      <c r="C42" s="21"/>
      <c r="D42" s="37" t="s">
        <v>24</v>
      </c>
      <c r="E42" s="17"/>
      <c r="F42" s="18"/>
      <c r="G42" s="38"/>
      <c r="H42" s="38"/>
      <c r="I42" s="38"/>
      <c r="J42" s="87">
        <v>1.2E-2</v>
      </c>
      <c r="K42" s="77">
        <f>K41*J42</f>
        <v>0</v>
      </c>
      <c r="L42" s="19"/>
    </row>
    <row r="43" spans="1:12" s="16" customFormat="1" ht="36.5" customHeight="1">
      <c r="A43" s="37" t="s">
        <v>59</v>
      </c>
      <c r="B43" s="20" t="s">
        <v>195</v>
      </c>
      <c r="C43" s="21"/>
      <c r="D43" s="37" t="s">
        <v>24</v>
      </c>
      <c r="E43" s="17"/>
      <c r="F43" s="18"/>
      <c r="G43" s="38"/>
      <c r="H43" s="38"/>
      <c r="I43" s="38"/>
      <c r="J43" s="87">
        <v>0.02</v>
      </c>
      <c r="K43" s="77">
        <f>(K41+K42)*J43</f>
        <v>0</v>
      </c>
      <c r="L43" s="19"/>
    </row>
    <row r="44" spans="1:12" s="16" customFormat="1" ht="36.5" customHeight="1">
      <c r="A44" s="37" t="s">
        <v>60</v>
      </c>
      <c r="B44" s="20" t="s">
        <v>196</v>
      </c>
      <c r="C44" s="21"/>
      <c r="D44" s="37" t="s">
        <v>24</v>
      </c>
      <c r="E44" s="17"/>
      <c r="F44" s="18"/>
      <c r="G44" s="38"/>
      <c r="H44" s="38"/>
      <c r="I44" s="38"/>
      <c r="J44" s="87">
        <v>0.03</v>
      </c>
      <c r="K44" s="77">
        <f>(K41+K42+K43)*J44</f>
        <v>0</v>
      </c>
      <c r="L44" s="19"/>
    </row>
    <row r="45" spans="1:12" s="16" customFormat="1" ht="36.5" customHeight="1">
      <c r="A45" s="37" t="s">
        <v>61</v>
      </c>
      <c r="B45" s="20" t="s">
        <v>53</v>
      </c>
      <c r="C45" s="21"/>
      <c r="D45" s="37" t="s">
        <v>24</v>
      </c>
      <c r="E45" s="17"/>
      <c r="F45" s="18"/>
      <c r="G45" s="38"/>
      <c r="H45" s="38"/>
      <c r="I45" s="38"/>
      <c r="J45" s="22">
        <v>0.09</v>
      </c>
      <c r="K45" s="77">
        <f>(K41+K42+K43+K44)*J45</f>
        <v>0</v>
      </c>
      <c r="L45" s="19"/>
    </row>
    <row r="46" spans="1:12" s="16" customFormat="1" ht="32.5" customHeight="1">
      <c r="A46" s="37" t="s">
        <v>62</v>
      </c>
      <c r="B46" s="12" t="s">
        <v>54</v>
      </c>
      <c r="C46" s="13"/>
      <c r="D46" s="37" t="s">
        <v>24</v>
      </c>
      <c r="E46" s="17"/>
      <c r="F46" s="18"/>
      <c r="G46" s="38"/>
      <c r="H46" s="38"/>
      <c r="I46" s="38"/>
      <c r="J46" s="19"/>
      <c r="K46" s="78">
        <f>K4+K42+K43+K44+K45</f>
        <v>0</v>
      </c>
      <c r="L46" s="19"/>
    </row>
    <row r="47" spans="1:12" ht="39" customHeight="1">
      <c r="A47" s="107" t="s">
        <v>236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8"/>
      <c r="L47" s="107"/>
    </row>
  </sheetData>
  <mergeCells count="11">
    <mergeCell ref="L5:L16"/>
    <mergeCell ref="A47:L47"/>
    <mergeCell ref="E2:E3"/>
    <mergeCell ref="A1:L1"/>
    <mergeCell ref="A2:A3"/>
    <mergeCell ref="B2:B3"/>
    <mergeCell ref="C2:C3"/>
    <mergeCell ref="D2:D3"/>
    <mergeCell ref="F2:J2"/>
    <mergeCell ref="K2:K3"/>
    <mergeCell ref="L2:L3"/>
  </mergeCells>
  <phoneticPr fontId="5" type="noConversion"/>
  <pageMargins left="0.109722222222222" right="0.109722222222222" top="0.55486111111111103" bottom="0.35763888888888901" header="0.29861111111111099" footer="0.29861111111111099"/>
  <pageSetup paperSize="9" scale="84" fitToHeight="0" orientation="landscape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C46"/>
  <sheetViews>
    <sheetView view="pageBreakPreview" zoomScale="90" zoomScaleNormal="100" zoomScaleSheetLayoutView="90" workbookViewId="0">
      <pane xSplit="5" ySplit="4" topLeftCell="F45" activePane="bottomRight" state="frozen"/>
      <selection pane="topRight"/>
      <selection pane="bottomLeft"/>
      <selection pane="bottomRight" activeCell="A46" sqref="A46:L46"/>
    </sheetView>
  </sheetViews>
  <sheetFormatPr defaultColWidth="9" defaultRowHeight="18" customHeight="1"/>
  <cols>
    <col min="1" max="1" width="5.25" style="23" customWidth="1"/>
    <col min="2" max="2" width="13" style="24" customWidth="1"/>
    <col min="3" max="3" width="38.25" style="23" customWidth="1"/>
    <col min="4" max="4" width="4.9140625" style="23" customWidth="1"/>
    <col min="5" max="5" width="9.83203125" style="25" customWidth="1"/>
    <col min="6" max="6" width="10.6640625" style="26" customWidth="1"/>
    <col min="7" max="7" width="9.9140625" style="23" customWidth="1"/>
    <col min="8" max="8" width="9.1640625" style="23" customWidth="1"/>
    <col min="9" max="10" width="10.6640625" style="23" customWidth="1"/>
    <col min="11" max="11" width="13.83203125" style="79" customWidth="1"/>
    <col min="12" max="12" width="31.4140625" style="23" customWidth="1"/>
    <col min="13" max="16384" width="9" style="8"/>
  </cols>
  <sheetData>
    <row r="1" spans="1:12" ht="18" customHeight="1">
      <c r="A1" s="110" t="s">
        <v>96</v>
      </c>
      <c r="B1" s="111"/>
      <c r="C1" s="110"/>
      <c r="D1" s="110"/>
      <c r="E1" s="110"/>
      <c r="F1" s="110"/>
      <c r="G1" s="110"/>
      <c r="H1" s="110"/>
      <c r="I1" s="110"/>
      <c r="J1" s="110"/>
      <c r="K1" s="112"/>
      <c r="L1" s="110"/>
    </row>
    <row r="2" spans="1:12" ht="28.5" customHeight="1">
      <c r="A2" s="113" t="s">
        <v>0</v>
      </c>
      <c r="B2" s="106" t="s">
        <v>6</v>
      </c>
      <c r="C2" s="106" t="s">
        <v>7</v>
      </c>
      <c r="D2" s="113" t="s">
        <v>8</v>
      </c>
      <c r="E2" s="109" t="s">
        <v>9</v>
      </c>
      <c r="F2" s="109" t="s">
        <v>10</v>
      </c>
      <c r="G2" s="109"/>
      <c r="H2" s="109"/>
      <c r="I2" s="109"/>
      <c r="J2" s="109"/>
      <c r="K2" s="108" t="s">
        <v>197</v>
      </c>
      <c r="L2" s="113" t="s">
        <v>3</v>
      </c>
    </row>
    <row r="3" spans="1:12" ht="45" customHeight="1">
      <c r="A3" s="113"/>
      <c r="B3" s="106"/>
      <c r="C3" s="106"/>
      <c r="D3" s="113"/>
      <c r="E3" s="109"/>
      <c r="F3" s="35" t="s">
        <v>46</v>
      </c>
      <c r="G3" s="10" t="s">
        <v>12</v>
      </c>
      <c r="H3" s="10" t="s">
        <v>13</v>
      </c>
      <c r="I3" s="10" t="s">
        <v>14</v>
      </c>
      <c r="J3" s="10" t="s">
        <v>15</v>
      </c>
      <c r="K3" s="115"/>
      <c r="L3" s="113"/>
    </row>
    <row r="4" spans="1:12" ht="27" customHeight="1">
      <c r="A4" s="34" t="s">
        <v>16</v>
      </c>
      <c r="B4" s="12" t="s">
        <v>17</v>
      </c>
      <c r="C4" s="13"/>
      <c r="D4" s="34"/>
      <c r="E4" s="14"/>
      <c r="F4" s="35"/>
      <c r="G4" s="35"/>
      <c r="H4" s="35"/>
      <c r="I4" s="35"/>
      <c r="J4" s="35"/>
      <c r="K4" s="75">
        <f>SUM(K5:K22)</f>
        <v>0</v>
      </c>
      <c r="L4" s="34"/>
    </row>
    <row r="5" spans="1:12" ht="71" customHeight="1">
      <c r="A5" s="34">
        <v>1</v>
      </c>
      <c r="B5" s="27" t="s">
        <v>42</v>
      </c>
      <c r="C5" s="27" t="s">
        <v>78</v>
      </c>
      <c r="D5" s="34" t="s">
        <v>18</v>
      </c>
      <c r="E5" s="14">
        <v>465.99</v>
      </c>
      <c r="F5" s="83"/>
      <c r="G5" s="83"/>
      <c r="H5" s="83"/>
      <c r="I5" s="83"/>
      <c r="J5" s="35">
        <f>SUM(F5:I5)</f>
        <v>0</v>
      </c>
      <c r="K5" s="75">
        <f>J5*E5</f>
        <v>0</v>
      </c>
      <c r="L5" s="106" t="s">
        <v>19</v>
      </c>
    </row>
    <row r="6" spans="1:12" ht="70" customHeight="1">
      <c r="A6" s="34">
        <v>2</v>
      </c>
      <c r="B6" s="12" t="s">
        <v>66</v>
      </c>
      <c r="C6" s="12" t="s">
        <v>80</v>
      </c>
      <c r="D6" s="34" t="s">
        <v>18</v>
      </c>
      <c r="E6" s="14">
        <v>266.31</v>
      </c>
      <c r="F6" s="83"/>
      <c r="G6" s="83"/>
      <c r="H6" s="83"/>
      <c r="I6" s="83"/>
      <c r="J6" s="35">
        <f t="shared" ref="J6:J37" si="0">SUM(F6:I6)</f>
        <v>0</v>
      </c>
      <c r="K6" s="75">
        <f t="shared" ref="K6:K37" si="1">J6*E6</f>
        <v>0</v>
      </c>
      <c r="L6" s="106"/>
    </row>
    <row r="7" spans="1:12" ht="87" customHeight="1">
      <c r="A7" s="34">
        <v>3</v>
      </c>
      <c r="B7" s="12" t="s">
        <v>100</v>
      </c>
      <c r="C7" s="27" t="s">
        <v>101</v>
      </c>
      <c r="D7" s="34" t="s">
        <v>18</v>
      </c>
      <c r="E7" s="14">
        <v>23.827000000000002</v>
      </c>
      <c r="F7" s="83"/>
      <c r="G7" s="83"/>
      <c r="H7" s="83"/>
      <c r="I7" s="83"/>
      <c r="J7" s="35">
        <f t="shared" si="0"/>
        <v>0</v>
      </c>
      <c r="K7" s="75">
        <f t="shared" si="1"/>
        <v>0</v>
      </c>
      <c r="L7" s="106"/>
    </row>
    <row r="8" spans="1:12" ht="90" customHeight="1">
      <c r="A8" s="37">
        <v>4</v>
      </c>
      <c r="B8" s="12" t="s">
        <v>33</v>
      </c>
      <c r="C8" s="27" t="s">
        <v>82</v>
      </c>
      <c r="D8" s="34" t="s">
        <v>18</v>
      </c>
      <c r="E8" s="14">
        <v>286.21199999999999</v>
      </c>
      <c r="F8" s="83"/>
      <c r="G8" s="83"/>
      <c r="H8" s="83"/>
      <c r="I8" s="83"/>
      <c r="J8" s="35">
        <f t="shared" si="0"/>
        <v>0</v>
      </c>
      <c r="K8" s="75">
        <f t="shared" si="1"/>
        <v>0</v>
      </c>
      <c r="L8" s="106"/>
    </row>
    <row r="9" spans="1:12" ht="97" customHeight="1">
      <c r="A9" s="37">
        <v>5</v>
      </c>
      <c r="B9" s="12" t="s">
        <v>67</v>
      </c>
      <c r="C9" s="27" t="s">
        <v>83</v>
      </c>
      <c r="D9" s="34" t="s">
        <v>18</v>
      </c>
      <c r="E9" s="14">
        <v>40.841000000000001</v>
      </c>
      <c r="F9" s="83"/>
      <c r="G9" s="83"/>
      <c r="H9" s="83"/>
      <c r="I9" s="83"/>
      <c r="J9" s="35">
        <f>SUM(F9:I9)</f>
        <v>0</v>
      </c>
      <c r="K9" s="75">
        <f t="shared" si="1"/>
        <v>0</v>
      </c>
      <c r="L9" s="106"/>
    </row>
    <row r="10" spans="1:12" ht="95" customHeight="1">
      <c r="A10" s="37">
        <v>6</v>
      </c>
      <c r="B10" s="12" t="s">
        <v>68</v>
      </c>
      <c r="C10" s="12" t="s">
        <v>84</v>
      </c>
      <c r="D10" s="34" t="s">
        <v>18</v>
      </c>
      <c r="E10" s="14">
        <v>2.0710000000000002</v>
      </c>
      <c r="F10" s="83"/>
      <c r="G10" s="83"/>
      <c r="H10" s="83"/>
      <c r="I10" s="83"/>
      <c r="J10" s="35">
        <f t="shared" si="0"/>
        <v>0</v>
      </c>
      <c r="K10" s="75">
        <f t="shared" si="1"/>
        <v>0</v>
      </c>
      <c r="L10" s="106"/>
    </row>
    <row r="11" spans="1:12" ht="91" customHeight="1">
      <c r="A11" s="37">
        <v>7</v>
      </c>
      <c r="B11" s="12" t="s">
        <v>152</v>
      </c>
      <c r="C11" s="12" t="s">
        <v>95</v>
      </c>
      <c r="D11" s="34" t="s">
        <v>18</v>
      </c>
      <c r="E11" s="14">
        <f>8.293+1.538+19.967+0.239</f>
        <v>30.036999999999999</v>
      </c>
      <c r="F11" s="83"/>
      <c r="G11" s="83"/>
      <c r="H11" s="83"/>
      <c r="I11" s="83"/>
      <c r="J11" s="35">
        <f t="shared" si="0"/>
        <v>0</v>
      </c>
      <c r="K11" s="75">
        <f t="shared" si="1"/>
        <v>0</v>
      </c>
      <c r="L11" s="106"/>
    </row>
    <row r="12" spans="1:12" ht="99" customHeight="1">
      <c r="A12" s="37">
        <v>8</v>
      </c>
      <c r="B12" s="12" t="s">
        <v>183</v>
      </c>
      <c r="C12" s="12" t="s">
        <v>185</v>
      </c>
      <c r="D12" s="34" t="s">
        <v>18</v>
      </c>
      <c r="E12" s="14">
        <f>33.74+5.018+24.28</f>
        <v>63.038000000000004</v>
      </c>
      <c r="F12" s="83"/>
      <c r="G12" s="83"/>
      <c r="H12" s="83"/>
      <c r="I12" s="83"/>
      <c r="J12" s="35">
        <f t="shared" si="0"/>
        <v>0</v>
      </c>
      <c r="K12" s="75">
        <f t="shared" si="1"/>
        <v>0</v>
      </c>
      <c r="L12" s="106"/>
    </row>
    <row r="13" spans="1:12" ht="83" customHeight="1">
      <c r="A13" s="59">
        <v>9</v>
      </c>
      <c r="B13" s="12" t="s">
        <v>34</v>
      </c>
      <c r="C13" s="12" t="s">
        <v>88</v>
      </c>
      <c r="D13" s="34" t="s">
        <v>18</v>
      </c>
      <c r="E13" s="14">
        <v>44.692999999999998</v>
      </c>
      <c r="F13" s="83"/>
      <c r="G13" s="83"/>
      <c r="H13" s="83"/>
      <c r="I13" s="83"/>
      <c r="J13" s="35">
        <f t="shared" si="0"/>
        <v>0</v>
      </c>
      <c r="K13" s="75">
        <f t="shared" si="1"/>
        <v>0</v>
      </c>
      <c r="L13" s="106"/>
    </row>
    <row r="14" spans="1:12" ht="86" customHeight="1">
      <c r="A14" s="59">
        <v>10</v>
      </c>
      <c r="B14" s="12" t="s">
        <v>98</v>
      </c>
      <c r="C14" s="12" t="s">
        <v>99</v>
      </c>
      <c r="D14" s="34" t="s">
        <v>18</v>
      </c>
      <c r="E14" s="14">
        <f>12.638+50.9</f>
        <v>63.537999999999997</v>
      </c>
      <c r="F14" s="83"/>
      <c r="G14" s="83"/>
      <c r="H14" s="83"/>
      <c r="I14" s="83"/>
      <c r="J14" s="83">
        <f t="shared" ref="J14" si="2">SUM(F14:I14)</f>
        <v>0</v>
      </c>
      <c r="K14" s="84">
        <f t="shared" ref="K14" si="3">J14*E14</f>
        <v>0</v>
      </c>
      <c r="L14" s="106"/>
    </row>
    <row r="15" spans="1:12" ht="89.5" customHeight="1">
      <c r="A15" s="59">
        <v>11</v>
      </c>
      <c r="B15" s="12" t="s">
        <v>141</v>
      </c>
      <c r="C15" s="12" t="s">
        <v>87</v>
      </c>
      <c r="D15" s="34" t="s">
        <v>18</v>
      </c>
      <c r="E15" s="14">
        <f>3.06+10.858</f>
        <v>13.918000000000001</v>
      </c>
      <c r="F15" s="83"/>
      <c r="G15" s="83"/>
      <c r="H15" s="83"/>
      <c r="I15" s="83"/>
      <c r="J15" s="35">
        <f t="shared" si="0"/>
        <v>0</v>
      </c>
      <c r="K15" s="75">
        <f t="shared" si="1"/>
        <v>0</v>
      </c>
      <c r="L15" s="106"/>
    </row>
    <row r="16" spans="1:12" ht="102" customHeight="1">
      <c r="A16" s="72">
        <v>12</v>
      </c>
      <c r="B16" s="73" t="s">
        <v>226</v>
      </c>
      <c r="C16" s="12" t="s">
        <v>227</v>
      </c>
      <c r="D16" s="70" t="s">
        <v>18</v>
      </c>
      <c r="E16" s="80">
        <f>30.55+2</f>
        <v>32.549999999999997</v>
      </c>
      <c r="F16" s="83"/>
      <c r="G16" s="83"/>
      <c r="H16" s="83"/>
      <c r="I16" s="83"/>
      <c r="J16" s="83">
        <f t="shared" ref="J16" si="4">SUM(F16:I16)</f>
        <v>0</v>
      </c>
      <c r="K16" s="84">
        <f t="shared" ref="K16" si="5">J16*E16</f>
        <v>0</v>
      </c>
      <c r="L16" s="71"/>
    </row>
    <row r="17" spans="1:12 16314:16331" ht="72" customHeight="1">
      <c r="A17" s="59">
        <v>13</v>
      </c>
      <c r="B17" s="12" t="s">
        <v>186</v>
      </c>
      <c r="C17" s="12" t="s">
        <v>89</v>
      </c>
      <c r="D17" s="34" t="s">
        <v>18</v>
      </c>
      <c r="E17" s="14">
        <v>69.867999999999995</v>
      </c>
      <c r="F17" s="83"/>
      <c r="G17" s="83"/>
      <c r="H17" s="83"/>
      <c r="I17" s="83"/>
      <c r="J17" s="35">
        <f t="shared" si="0"/>
        <v>0</v>
      </c>
      <c r="K17" s="75">
        <f t="shared" si="1"/>
        <v>0</v>
      </c>
      <c r="L17" s="33" t="s">
        <v>20</v>
      </c>
    </row>
    <row r="18" spans="1:12 16314:16331" ht="76.5" customHeight="1">
      <c r="A18" s="59">
        <v>14</v>
      </c>
      <c r="B18" s="12" t="s">
        <v>187</v>
      </c>
      <c r="C18" s="12" t="s">
        <v>89</v>
      </c>
      <c r="D18" s="34" t="s">
        <v>18</v>
      </c>
      <c r="E18" s="14">
        <f>104.84+2.127</f>
        <v>106.967</v>
      </c>
      <c r="F18" s="83"/>
      <c r="G18" s="83"/>
      <c r="H18" s="83"/>
      <c r="I18" s="83"/>
      <c r="J18" s="35">
        <f t="shared" si="0"/>
        <v>0</v>
      </c>
      <c r="K18" s="75">
        <f t="shared" si="1"/>
        <v>0</v>
      </c>
      <c r="L18" s="33" t="s">
        <v>20</v>
      </c>
    </row>
    <row r="19" spans="1:12 16314:16331" ht="49.5" customHeight="1">
      <c r="A19" s="59">
        <v>15</v>
      </c>
      <c r="B19" s="12" t="s">
        <v>43</v>
      </c>
      <c r="C19" s="12" t="s">
        <v>201</v>
      </c>
      <c r="D19" s="34" t="s">
        <v>18</v>
      </c>
      <c r="E19" s="14">
        <f>E5+E13</f>
        <v>510.68299999999999</v>
      </c>
      <c r="F19" s="83"/>
      <c r="G19" s="83"/>
      <c r="H19" s="83"/>
      <c r="I19" s="83"/>
      <c r="J19" s="35">
        <f t="shared" si="0"/>
        <v>0</v>
      </c>
      <c r="K19" s="75">
        <f t="shared" si="1"/>
        <v>0</v>
      </c>
      <c r="L19" s="33" t="s">
        <v>21</v>
      </c>
    </row>
    <row r="20" spans="1:12 16314:16331" ht="57.5" customHeight="1">
      <c r="A20" s="59">
        <v>16</v>
      </c>
      <c r="B20" s="12" t="s">
        <v>44</v>
      </c>
      <c r="C20" s="12" t="s">
        <v>202</v>
      </c>
      <c r="D20" s="34" t="s">
        <v>18</v>
      </c>
      <c r="E20" s="14">
        <f>E6+E7+E8+E9+E10+E12+E15</f>
        <v>696.21699999999998</v>
      </c>
      <c r="F20" s="83"/>
      <c r="G20" s="83"/>
      <c r="H20" s="83"/>
      <c r="I20" s="83"/>
      <c r="J20" s="35">
        <f t="shared" si="0"/>
        <v>0</v>
      </c>
      <c r="K20" s="75">
        <f t="shared" si="1"/>
        <v>0</v>
      </c>
      <c r="L20" s="33" t="s">
        <v>21</v>
      </c>
    </row>
    <row r="21" spans="1:12 16314:16331" ht="52.5" customHeight="1">
      <c r="A21" s="90">
        <v>17</v>
      </c>
      <c r="B21" s="12" t="s">
        <v>142</v>
      </c>
      <c r="C21" s="12" t="s">
        <v>203</v>
      </c>
      <c r="D21" s="90" t="s">
        <v>18</v>
      </c>
      <c r="E21" s="14">
        <f>E16</f>
        <v>32.549999999999997</v>
      </c>
      <c r="F21" s="89"/>
      <c r="G21" s="89"/>
      <c r="H21" s="89"/>
      <c r="I21" s="89"/>
      <c r="J21" s="89">
        <f t="shared" ref="J21" si="6">SUM(F21:I21)</f>
        <v>0</v>
      </c>
      <c r="K21" s="84">
        <f t="shared" si="1"/>
        <v>0</v>
      </c>
      <c r="L21" s="88" t="s">
        <v>21</v>
      </c>
    </row>
    <row r="22" spans="1:12 16314:16331" ht="52.5" customHeight="1">
      <c r="A22" s="59">
        <v>18</v>
      </c>
      <c r="B22" s="12" t="s">
        <v>142</v>
      </c>
      <c r="C22" s="12" t="s">
        <v>204</v>
      </c>
      <c r="D22" s="34" t="s">
        <v>18</v>
      </c>
      <c r="E22" s="14">
        <f>E14</f>
        <v>63.537999999999997</v>
      </c>
      <c r="F22" s="83"/>
      <c r="G22" s="83"/>
      <c r="H22" s="83"/>
      <c r="I22" s="83"/>
      <c r="J22" s="35">
        <f t="shared" ref="J22" si="7">SUM(F22:I22)</f>
        <v>0</v>
      </c>
      <c r="K22" s="75">
        <f t="shared" ref="K22" si="8">J22*E22</f>
        <v>0</v>
      </c>
      <c r="L22" s="33" t="s">
        <v>21</v>
      </c>
    </row>
    <row r="23" spans="1:12 16314:16331" s="16" customFormat="1" ht="27" customHeight="1">
      <c r="A23" s="37" t="s">
        <v>149</v>
      </c>
      <c r="B23" s="12" t="s">
        <v>55</v>
      </c>
      <c r="C23" s="13"/>
      <c r="D23" s="34"/>
      <c r="E23" s="14"/>
      <c r="F23" s="35"/>
      <c r="G23" s="35"/>
      <c r="H23" s="35"/>
      <c r="I23" s="35"/>
      <c r="J23" s="35">
        <f t="shared" si="0"/>
        <v>0</v>
      </c>
      <c r="K23" s="75">
        <f>SUM(K24:K30)</f>
        <v>0</v>
      </c>
      <c r="L23" s="34"/>
    </row>
    <row r="24" spans="1:12 16314:16331" s="16" customFormat="1" ht="40.5" customHeight="1">
      <c r="A24" s="62">
        <v>19</v>
      </c>
      <c r="B24" s="12" t="s">
        <v>192</v>
      </c>
      <c r="C24" s="12" t="s">
        <v>191</v>
      </c>
      <c r="D24" s="34" t="s">
        <v>4</v>
      </c>
      <c r="E24" s="14">
        <f>186.3*2</f>
        <v>372.6</v>
      </c>
      <c r="F24" s="86"/>
      <c r="G24" s="86"/>
      <c r="H24" s="86"/>
      <c r="I24" s="86"/>
      <c r="J24" s="35">
        <f t="shared" si="0"/>
        <v>0</v>
      </c>
      <c r="K24" s="75">
        <f t="shared" si="1"/>
        <v>0</v>
      </c>
      <c r="L24" s="33" t="s">
        <v>20</v>
      </c>
    </row>
    <row r="25" spans="1:12 16314:16331" s="16" customFormat="1" ht="71" customHeight="1">
      <c r="A25" s="62">
        <v>20</v>
      </c>
      <c r="B25" s="12" t="s">
        <v>37</v>
      </c>
      <c r="C25" s="12" t="s">
        <v>172</v>
      </c>
      <c r="D25" s="34" t="s">
        <v>4</v>
      </c>
      <c r="E25" s="14">
        <v>8083.54</v>
      </c>
      <c r="F25" s="86"/>
      <c r="G25" s="86"/>
      <c r="H25" s="86"/>
      <c r="I25" s="86"/>
      <c r="J25" s="35">
        <f t="shared" si="0"/>
        <v>0</v>
      </c>
      <c r="K25" s="75">
        <f t="shared" si="1"/>
        <v>0</v>
      </c>
      <c r="L25" s="33" t="s">
        <v>27</v>
      </c>
    </row>
    <row r="26" spans="1:12 16314:16331" ht="39.5" customHeight="1">
      <c r="A26" s="90">
        <v>21</v>
      </c>
      <c r="B26" s="12" t="s">
        <v>221</v>
      </c>
      <c r="C26" s="12" t="s">
        <v>220</v>
      </c>
      <c r="D26" s="90" t="s">
        <v>4</v>
      </c>
      <c r="E26" s="14">
        <v>376.32</v>
      </c>
      <c r="F26" s="89"/>
      <c r="G26" s="89"/>
      <c r="H26" s="89"/>
      <c r="I26" s="89"/>
      <c r="J26" s="89">
        <f t="shared" ref="J26" si="9">SUM(F26:I26)</f>
        <v>0</v>
      </c>
      <c r="K26" s="84">
        <f t="shared" ref="K26" si="10">J26*E26</f>
        <v>0</v>
      </c>
      <c r="L26" s="88" t="s">
        <v>20</v>
      </c>
    </row>
    <row r="27" spans="1:12 16314:16331" ht="39.5" customHeight="1">
      <c r="A27" s="64">
        <v>22</v>
      </c>
      <c r="B27" s="12" t="s">
        <v>222</v>
      </c>
      <c r="C27" s="12" t="s">
        <v>223</v>
      </c>
      <c r="D27" s="34" t="s">
        <v>4</v>
      </c>
      <c r="E27" s="14">
        <f>103.59+1121.69+163.53-E26</f>
        <v>1012.49</v>
      </c>
      <c r="F27" s="86"/>
      <c r="G27" s="86"/>
      <c r="H27" s="86"/>
      <c r="I27" s="86"/>
      <c r="J27" s="35">
        <f t="shared" si="0"/>
        <v>0</v>
      </c>
      <c r="K27" s="75">
        <f t="shared" si="1"/>
        <v>0</v>
      </c>
      <c r="L27" s="33" t="s">
        <v>20</v>
      </c>
    </row>
    <row r="28" spans="1:12 16314:16331" ht="35" customHeight="1">
      <c r="A28" s="64">
        <v>23</v>
      </c>
      <c r="B28" s="66" t="s">
        <v>176</v>
      </c>
      <c r="C28" s="67" t="s">
        <v>189</v>
      </c>
      <c r="D28" s="34" t="s">
        <v>22</v>
      </c>
      <c r="E28" s="101">
        <v>780</v>
      </c>
      <c r="F28" s="86"/>
      <c r="G28" s="86"/>
      <c r="H28" s="86"/>
      <c r="I28" s="86"/>
      <c r="J28" s="35">
        <f t="shared" ref="J28" si="11">SUM(F28:I28)</f>
        <v>0</v>
      </c>
      <c r="K28" s="75">
        <f t="shared" ref="K28" si="12">J28*E28</f>
        <v>0</v>
      </c>
      <c r="L28" s="33" t="s">
        <v>27</v>
      </c>
      <c r="XCL28" s="29"/>
      <c r="XCM28" s="29"/>
      <c r="XCN28" s="29"/>
      <c r="XCO28" s="29"/>
      <c r="XCP28" s="29"/>
      <c r="XCQ28" s="29"/>
      <c r="XCR28" s="29"/>
      <c r="XCS28" s="29"/>
      <c r="XCT28" s="29"/>
      <c r="XCU28" s="29"/>
      <c r="XCV28" s="29"/>
      <c r="XCW28" s="29"/>
      <c r="XCX28" s="29"/>
      <c r="XCY28" s="29"/>
      <c r="XCZ28" s="29"/>
      <c r="XDA28" s="29"/>
      <c r="XDB28" s="29"/>
      <c r="XDC28" s="29"/>
    </row>
    <row r="29" spans="1:12 16314:16331" ht="35" customHeight="1">
      <c r="A29" s="64">
        <v>24</v>
      </c>
      <c r="B29" s="66" t="s">
        <v>178</v>
      </c>
      <c r="C29" s="68" t="s">
        <v>215</v>
      </c>
      <c r="D29" s="34" t="s">
        <v>28</v>
      </c>
      <c r="E29" s="101">
        <v>40</v>
      </c>
      <c r="F29" s="86"/>
      <c r="G29" s="86"/>
      <c r="H29" s="86"/>
      <c r="I29" s="86"/>
      <c r="J29" s="35">
        <f>SUM(F29:I29)</f>
        <v>0</v>
      </c>
      <c r="K29" s="75">
        <f>J29*E29</f>
        <v>0</v>
      </c>
      <c r="L29" s="33" t="s">
        <v>27</v>
      </c>
      <c r="XCL29" s="29"/>
      <c r="XCM29" s="29"/>
      <c r="XCN29" s="29"/>
      <c r="XCO29" s="29"/>
      <c r="XCP29" s="29"/>
      <c r="XCQ29" s="29"/>
      <c r="XCR29" s="29"/>
      <c r="XCS29" s="29"/>
      <c r="XCT29" s="29"/>
      <c r="XCU29" s="29"/>
      <c r="XCV29" s="29"/>
      <c r="XCW29" s="29"/>
      <c r="XCX29" s="29"/>
      <c r="XCY29" s="29"/>
      <c r="XCZ29" s="29"/>
      <c r="XDA29" s="29"/>
      <c r="XDB29" s="29"/>
      <c r="XDC29" s="29"/>
    </row>
    <row r="30" spans="1:12 16314:16331" ht="35" customHeight="1">
      <c r="A30" s="90">
        <v>25</v>
      </c>
      <c r="B30" s="12" t="s">
        <v>29</v>
      </c>
      <c r="C30" s="12" t="s">
        <v>205</v>
      </c>
      <c r="D30" s="34" t="s">
        <v>47</v>
      </c>
      <c r="E30" s="14">
        <v>506.52</v>
      </c>
      <c r="F30" s="86"/>
      <c r="G30" s="86"/>
      <c r="H30" s="86"/>
      <c r="I30" s="86"/>
      <c r="J30" s="35">
        <f t="shared" si="0"/>
        <v>0</v>
      </c>
      <c r="K30" s="75">
        <f t="shared" si="1"/>
        <v>0</v>
      </c>
      <c r="L30" s="33" t="s">
        <v>27</v>
      </c>
    </row>
    <row r="31" spans="1:12 16314:16331" s="16" customFormat="1" ht="36.5" customHeight="1">
      <c r="A31" s="34" t="s">
        <v>30</v>
      </c>
      <c r="B31" s="12" t="s">
        <v>50</v>
      </c>
      <c r="C31" s="13"/>
      <c r="D31" s="34"/>
      <c r="E31" s="14"/>
      <c r="F31" s="35"/>
      <c r="G31" s="35"/>
      <c r="H31" s="35"/>
      <c r="I31" s="35"/>
      <c r="J31" s="35">
        <f t="shared" si="0"/>
        <v>0</v>
      </c>
      <c r="K31" s="75">
        <f>SUM(K32:K39)</f>
        <v>0</v>
      </c>
      <c r="L31" s="33"/>
    </row>
    <row r="32" spans="1:12 16314:16331" s="16" customFormat="1" ht="36.5" customHeight="1">
      <c r="A32" s="34">
        <v>26</v>
      </c>
      <c r="B32" s="12" t="s">
        <v>41</v>
      </c>
      <c r="C32" s="12" t="s">
        <v>173</v>
      </c>
      <c r="D32" s="34" t="s">
        <v>4</v>
      </c>
      <c r="E32" s="14">
        <v>144</v>
      </c>
      <c r="F32" s="86"/>
      <c r="G32" s="86"/>
      <c r="H32" s="86"/>
      <c r="I32" s="86"/>
      <c r="J32" s="35">
        <f t="shared" si="0"/>
        <v>0</v>
      </c>
      <c r="K32" s="75">
        <f t="shared" si="1"/>
        <v>0</v>
      </c>
      <c r="L32" s="33" t="s">
        <v>27</v>
      </c>
    </row>
    <row r="33" spans="1:12" s="16" customFormat="1" ht="36.5" customHeight="1">
      <c r="A33" s="34">
        <v>27</v>
      </c>
      <c r="B33" s="12" t="s">
        <v>137</v>
      </c>
      <c r="C33" s="12" t="s">
        <v>174</v>
      </c>
      <c r="D33" s="34" t="s">
        <v>4</v>
      </c>
      <c r="E33" s="14">
        <v>384</v>
      </c>
      <c r="F33" s="86"/>
      <c r="G33" s="86"/>
      <c r="H33" s="86"/>
      <c r="I33" s="86"/>
      <c r="J33" s="35">
        <f t="shared" ref="J33:J34" si="13">SUM(F33:I33)</f>
        <v>0</v>
      </c>
      <c r="K33" s="75">
        <f t="shared" ref="K33:K35" si="14">J33*E33</f>
        <v>0</v>
      </c>
      <c r="L33" s="33" t="s">
        <v>27</v>
      </c>
    </row>
    <row r="34" spans="1:12" s="16" customFormat="1" ht="36.5" customHeight="1">
      <c r="A34" s="103">
        <v>28</v>
      </c>
      <c r="B34" s="12" t="s">
        <v>147</v>
      </c>
      <c r="C34" s="12" t="s">
        <v>175</v>
      </c>
      <c r="D34" s="34" t="s">
        <v>4</v>
      </c>
      <c r="E34" s="14">
        <v>60</v>
      </c>
      <c r="F34" s="86"/>
      <c r="G34" s="86"/>
      <c r="H34" s="86"/>
      <c r="I34" s="35"/>
      <c r="J34" s="35">
        <f t="shared" si="13"/>
        <v>0</v>
      </c>
      <c r="K34" s="75">
        <f t="shared" si="14"/>
        <v>0</v>
      </c>
      <c r="L34" s="33" t="s">
        <v>27</v>
      </c>
    </row>
    <row r="35" spans="1:12" s="16" customFormat="1" ht="36.5" customHeight="1">
      <c r="A35" s="103">
        <v>29</v>
      </c>
      <c r="B35" s="12" t="s">
        <v>39</v>
      </c>
      <c r="C35" s="13" t="s">
        <v>40</v>
      </c>
      <c r="D35" s="37" t="s">
        <v>4</v>
      </c>
      <c r="E35" s="14">
        <v>8.1</v>
      </c>
      <c r="F35" s="86"/>
      <c r="G35" s="86"/>
      <c r="H35" s="86"/>
      <c r="I35" s="38"/>
      <c r="J35" s="38">
        <f t="shared" ref="J35" si="15">SUM(F35:I35)</f>
        <v>0</v>
      </c>
      <c r="K35" s="75">
        <f t="shared" si="14"/>
        <v>0</v>
      </c>
      <c r="L35" s="36" t="s">
        <v>31</v>
      </c>
    </row>
    <row r="36" spans="1:12" s="16" customFormat="1" ht="36.5" customHeight="1">
      <c r="A36" s="103">
        <v>30</v>
      </c>
      <c r="B36" s="12" t="s">
        <v>32</v>
      </c>
      <c r="C36" s="12" t="s">
        <v>233</v>
      </c>
      <c r="D36" s="34" t="s">
        <v>4</v>
      </c>
      <c r="E36" s="14">
        <v>291.60000000000002</v>
      </c>
      <c r="F36" s="86"/>
      <c r="G36" s="86"/>
      <c r="H36" s="86"/>
      <c r="I36" s="86"/>
      <c r="J36" s="35">
        <f t="shared" si="0"/>
        <v>0</v>
      </c>
      <c r="K36" s="75">
        <f t="shared" si="1"/>
        <v>0</v>
      </c>
      <c r="L36" s="33" t="s">
        <v>20</v>
      </c>
    </row>
    <row r="37" spans="1:12" s="16" customFormat="1" ht="36.5" customHeight="1">
      <c r="A37" s="103">
        <v>31</v>
      </c>
      <c r="B37" s="12" t="s">
        <v>32</v>
      </c>
      <c r="C37" s="12" t="s">
        <v>234</v>
      </c>
      <c r="D37" s="34" t="s">
        <v>4</v>
      </c>
      <c r="E37" s="14">
        <v>237.6</v>
      </c>
      <c r="F37" s="86"/>
      <c r="G37" s="86"/>
      <c r="H37" s="86"/>
      <c r="I37" s="86"/>
      <c r="J37" s="35">
        <f t="shared" si="0"/>
        <v>0</v>
      </c>
      <c r="K37" s="75">
        <f t="shared" si="1"/>
        <v>0</v>
      </c>
      <c r="L37" s="33" t="s">
        <v>20</v>
      </c>
    </row>
    <row r="38" spans="1:12" s="16" customFormat="1" ht="36.5" customHeight="1">
      <c r="A38" s="103">
        <v>32</v>
      </c>
      <c r="B38" s="12" t="s">
        <v>148</v>
      </c>
      <c r="C38" s="12" t="s">
        <v>214</v>
      </c>
      <c r="D38" s="37" t="s">
        <v>4</v>
      </c>
      <c r="E38" s="14">
        <v>128.19999999999999</v>
      </c>
      <c r="F38" s="86"/>
      <c r="G38" s="86"/>
      <c r="H38" s="86"/>
      <c r="I38" s="86"/>
      <c r="J38" s="38">
        <f t="shared" ref="J38" si="16">SUM(F38:I38)</f>
        <v>0</v>
      </c>
      <c r="K38" s="75">
        <f>J38*E38</f>
        <v>0</v>
      </c>
      <c r="L38" s="36" t="s">
        <v>20</v>
      </c>
    </row>
    <row r="39" spans="1:12" ht="31.5" customHeight="1">
      <c r="A39" s="103">
        <v>33</v>
      </c>
      <c r="B39" s="73" t="s">
        <v>206</v>
      </c>
      <c r="C39" s="73" t="s">
        <v>207</v>
      </c>
      <c r="D39" s="72" t="s">
        <v>208</v>
      </c>
      <c r="E39" s="80">
        <v>24</v>
      </c>
      <c r="F39" s="93"/>
      <c r="G39" s="93"/>
      <c r="H39" s="93"/>
      <c r="I39" s="93"/>
      <c r="J39" s="92">
        <f t="shared" ref="J39" si="17">SUM(F39:I39)</f>
        <v>0</v>
      </c>
      <c r="K39" s="95">
        <f>J39*E39</f>
        <v>0</v>
      </c>
      <c r="L39" s="91"/>
    </row>
    <row r="40" spans="1:12" s="16" customFormat="1" ht="36.5" customHeight="1">
      <c r="A40" s="34" t="s">
        <v>57</v>
      </c>
      <c r="B40" s="12" t="s">
        <v>23</v>
      </c>
      <c r="C40" s="13"/>
      <c r="D40" s="34" t="s">
        <v>24</v>
      </c>
      <c r="E40" s="17">
        <v>1</v>
      </c>
      <c r="F40" s="18"/>
      <c r="G40" s="35"/>
      <c r="H40" s="35"/>
      <c r="I40" s="35"/>
      <c r="J40" s="19"/>
      <c r="K40" s="76">
        <f>K4+K23+K31</f>
        <v>0</v>
      </c>
      <c r="L40" s="19"/>
    </row>
    <row r="41" spans="1:12" s="16" customFormat="1" ht="36.5" customHeight="1">
      <c r="A41" s="34" t="s">
        <v>58</v>
      </c>
      <c r="B41" s="20" t="s">
        <v>56</v>
      </c>
      <c r="C41" s="21"/>
      <c r="D41" s="34" t="s">
        <v>24</v>
      </c>
      <c r="E41" s="17">
        <v>1</v>
      </c>
      <c r="F41" s="18"/>
      <c r="G41" s="35"/>
      <c r="H41" s="35"/>
      <c r="I41" s="35"/>
      <c r="J41" s="87">
        <v>1.2E-2</v>
      </c>
      <c r="K41" s="77">
        <f>K40*J41</f>
        <v>0</v>
      </c>
      <c r="L41" s="19"/>
    </row>
    <row r="42" spans="1:12" s="16" customFormat="1" ht="36.5" customHeight="1">
      <c r="A42" s="34" t="s">
        <v>59</v>
      </c>
      <c r="B42" s="20" t="s">
        <v>51</v>
      </c>
      <c r="C42" s="21"/>
      <c r="D42" s="34" t="s">
        <v>24</v>
      </c>
      <c r="E42" s="17">
        <v>1</v>
      </c>
      <c r="F42" s="18"/>
      <c r="G42" s="35"/>
      <c r="H42" s="35"/>
      <c r="I42" s="35"/>
      <c r="J42" s="87">
        <v>0.02</v>
      </c>
      <c r="K42" s="77">
        <f>(K40+K41)*J42</f>
        <v>0</v>
      </c>
      <c r="L42" s="19"/>
    </row>
    <row r="43" spans="1:12" s="16" customFormat="1" ht="36.5" customHeight="1">
      <c r="A43" s="34" t="s">
        <v>60</v>
      </c>
      <c r="B43" s="20" t="s">
        <v>198</v>
      </c>
      <c r="C43" s="21"/>
      <c r="D43" s="34" t="s">
        <v>24</v>
      </c>
      <c r="E43" s="17">
        <v>1</v>
      </c>
      <c r="F43" s="18"/>
      <c r="G43" s="35"/>
      <c r="H43" s="35"/>
      <c r="I43" s="35"/>
      <c r="J43" s="87">
        <v>0.03</v>
      </c>
      <c r="K43" s="77">
        <f>(K40+K41+K42)*J43</f>
        <v>0</v>
      </c>
      <c r="L43" s="19"/>
    </row>
    <row r="44" spans="1:12" s="16" customFormat="1" ht="36.5" customHeight="1">
      <c r="A44" s="34" t="s">
        <v>61</v>
      </c>
      <c r="B44" s="20" t="s">
        <v>53</v>
      </c>
      <c r="C44" s="21"/>
      <c r="D44" s="34" t="s">
        <v>24</v>
      </c>
      <c r="E44" s="17">
        <v>1</v>
      </c>
      <c r="F44" s="18"/>
      <c r="G44" s="35"/>
      <c r="H44" s="35"/>
      <c r="I44" s="35"/>
      <c r="J44" s="22">
        <v>0.09</v>
      </c>
      <c r="K44" s="77">
        <f>(K40+K41+K42+K43)*J44</f>
        <v>0</v>
      </c>
      <c r="L44" s="19"/>
    </row>
    <row r="45" spans="1:12" s="16" customFormat="1" ht="32.5" customHeight="1">
      <c r="A45" s="34" t="s">
        <v>62</v>
      </c>
      <c r="B45" s="12" t="s">
        <v>54</v>
      </c>
      <c r="C45" s="13"/>
      <c r="D45" s="34" t="s">
        <v>24</v>
      </c>
      <c r="E45" s="17">
        <v>1</v>
      </c>
      <c r="F45" s="18"/>
      <c r="G45" s="35"/>
      <c r="H45" s="35"/>
      <c r="I45" s="35"/>
      <c r="J45" s="19"/>
      <c r="K45" s="78">
        <f>K4+K41+K42+K43+K44</f>
        <v>0</v>
      </c>
      <c r="L45" s="19"/>
    </row>
    <row r="46" spans="1:12" ht="39" customHeight="1">
      <c r="A46" s="107" t="s">
        <v>236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8"/>
      <c r="L46" s="107"/>
    </row>
  </sheetData>
  <mergeCells count="11">
    <mergeCell ref="L5:L15"/>
    <mergeCell ref="A46:L46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honeticPr fontId="5" type="noConversion"/>
  <pageMargins left="0.109722222222222" right="0.109722222222222" top="0.55486111111111103" bottom="0.35763888888888901" header="0.29861111111111099" footer="0.29861111111111099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K6" sqref="K6:K9"/>
    </sheetView>
  </sheetViews>
  <sheetFormatPr defaultRowHeight="14"/>
  <cols>
    <col min="2" max="2" width="9.83203125" customWidth="1"/>
    <col min="3" max="3" width="11.1640625" customWidth="1"/>
    <col min="6" max="6" width="6.33203125" customWidth="1"/>
    <col min="7" max="7" width="6.9140625" customWidth="1"/>
    <col min="8" max="8" width="7.33203125" customWidth="1"/>
    <col min="9" max="9" width="6.9140625" customWidth="1"/>
    <col min="10" max="10" width="7.6640625" customWidth="1"/>
    <col min="15" max="15" width="7.5" customWidth="1"/>
  </cols>
  <sheetData>
    <row r="1" spans="1:15" ht="25">
      <c r="A1" s="39" t="s">
        <v>102</v>
      </c>
      <c r="B1" s="39" t="s">
        <v>103</v>
      </c>
      <c r="C1" s="39" t="s">
        <v>104</v>
      </c>
      <c r="D1" s="39" t="s">
        <v>104</v>
      </c>
      <c r="E1" s="39" t="s">
        <v>104</v>
      </c>
      <c r="F1" s="39" t="s">
        <v>105</v>
      </c>
      <c r="G1" s="39" t="s">
        <v>106</v>
      </c>
      <c r="H1" s="39" t="s">
        <v>5</v>
      </c>
      <c r="I1" s="42" t="s">
        <v>132</v>
      </c>
      <c r="J1" s="44" t="s">
        <v>133</v>
      </c>
      <c r="K1" s="44" t="s">
        <v>134</v>
      </c>
      <c r="L1" s="45" t="s">
        <v>136</v>
      </c>
      <c r="M1" s="45" t="s">
        <v>137</v>
      </c>
      <c r="N1" s="45" t="s">
        <v>139</v>
      </c>
      <c r="O1" s="57" t="s">
        <v>143</v>
      </c>
    </row>
    <row r="2" spans="1:15" ht="19" customHeight="1">
      <c r="A2" s="116"/>
      <c r="B2" s="39" t="s">
        <v>107</v>
      </c>
      <c r="C2" s="39" t="s">
        <v>108</v>
      </c>
      <c r="D2" s="39">
        <v>4000</v>
      </c>
      <c r="E2" s="39">
        <v>2500</v>
      </c>
      <c r="F2" s="39">
        <v>4</v>
      </c>
      <c r="G2" s="39"/>
      <c r="H2" s="39">
        <v>4</v>
      </c>
      <c r="I2" s="43">
        <f t="shared" ref="I2:I14" si="0">D2*E2*H2/1000000</f>
        <v>40</v>
      </c>
      <c r="J2" s="46">
        <f>H2*D2*1.8/1000</f>
        <v>28.8</v>
      </c>
      <c r="K2" s="47">
        <f>I2-J2</f>
        <v>11.2</v>
      </c>
      <c r="L2" s="48"/>
      <c r="M2" s="48"/>
      <c r="N2" s="48"/>
      <c r="O2">
        <f>(D2+E2)*2*0.5*H2/1000</f>
        <v>26</v>
      </c>
    </row>
    <row r="3" spans="1:15" ht="19" customHeight="1">
      <c r="A3" s="116"/>
      <c r="B3" s="39" t="s">
        <v>109</v>
      </c>
      <c r="C3" s="39" t="s">
        <v>110</v>
      </c>
      <c r="D3" s="39">
        <v>6000</v>
      </c>
      <c r="E3" s="39">
        <v>2500</v>
      </c>
      <c r="F3" s="39">
        <v>15</v>
      </c>
      <c r="G3" s="39"/>
      <c r="H3" s="39">
        <v>15</v>
      </c>
      <c r="I3" s="43">
        <f t="shared" si="0"/>
        <v>225</v>
      </c>
      <c r="J3" s="46">
        <f>H3*D3*1.8/1000</f>
        <v>162</v>
      </c>
      <c r="K3" s="47">
        <f>I3-J3</f>
        <v>63</v>
      </c>
      <c r="L3" s="48"/>
      <c r="M3" s="48"/>
      <c r="N3" s="48"/>
      <c r="O3">
        <f t="shared" ref="O3:O11" si="1">(D3+E3)*2*0.5*H3/1000</f>
        <v>127.5</v>
      </c>
    </row>
    <row r="4" spans="1:15" ht="19" customHeight="1">
      <c r="A4" s="116"/>
      <c r="B4" s="39" t="s">
        <v>111</v>
      </c>
      <c r="C4" s="39" t="s">
        <v>112</v>
      </c>
      <c r="D4" s="39">
        <v>8000</v>
      </c>
      <c r="E4" s="39">
        <v>2500</v>
      </c>
      <c r="F4" s="39">
        <v>2</v>
      </c>
      <c r="G4" s="39"/>
      <c r="H4" s="39">
        <v>2</v>
      </c>
      <c r="I4" s="43">
        <f t="shared" si="0"/>
        <v>40</v>
      </c>
      <c r="J4" s="46">
        <f>H4*D4*1.8/1000</f>
        <v>28.8</v>
      </c>
      <c r="K4" s="47">
        <f>I4-J4</f>
        <v>11.2</v>
      </c>
      <c r="L4" s="48"/>
      <c r="M4" s="48"/>
      <c r="N4" s="48"/>
      <c r="O4">
        <f t="shared" si="1"/>
        <v>21</v>
      </c>
    </row>
    <row r="5" spans="1:15" ht="19" customHeight="1">
      <c r="A5" s="116"/>
      <c r="B5" s="39" t="s">
        <v>113</v>
      </c>
      <c r="C5" s="39" t="s">
        <v>114</v>
      </c>
      <c r="D5" s="39">
        <v>10000</v>
      </c>
      <c r="E5" s="39">
        <v>2500</v>
      </c>
      <c r="F5" s="39">
        <v>1</v>
      </c>
      <c r="G5" s="39"/>
      <c r="H5" s="39">
        <v>1</v>
      </c>
      <c r="I5" s="43">
        <f t="shared" si="0"/>
        <v>25</v>
      </c>
      <c r="J5" s="46">
        <f>H5*D5*1.8/1000</f>
        <v>18</v>
      </c>
      <c r="K5" s="47">
        <f>I5-J5</f>
        <v>7</v>
      </c>
      <c r="L5" s="48"/>
      <c r="M5" s="48"/>
      <c r="N5" s="48"/>
      <c r="O5">
        <f t="shared" si="1"/>
        <v>12.5</v>
      </c>
    </row>
    <row r="6" spans="1:15" ht="19" customHeight="1">
      <c r="A6" s="116"/>
      <c r="B6" s="39" t="s">
        <v>115</v>
      </c>
      <c r="C6" s="39" t="s">
        <v>116</v>
      </c>
      <c r="D6" s="39">
        <v>4000</v>
      </c>
      <c r="E6" s="39">
        <v>1200</v>
      </c>
      <c r="F6" s="39">
        <v>2</v>
      </c>
      <c r="G6" s="39"/>
      <c r="H6" s="39">
        <v>1</v>
      </c>
      <c r="I6" s="43">
        <f t="shared" si="0"/>
        <v>4.8</v>
      </c>
      <c r="J6" s="46"/>
      <c r="K6" s="49">
        <f>I6</f>
        <v>4.8</v>
      </c>
      <c r="L6" s="48"/>
      <c r="M6" s="48"/>
      <c r="N6" s="48"/>
      <c r="O6">
        <f t="shared" si="1"/>
        <v>5.2</v>
      </c>
    </row>
    <row r="7" spans="1:15" ht="19" customHeight="1">
      <c r="A7" s="116"/>
      <c r="B7" s="39" t="s">
        <v>117</v>
      </c>
      <c r="C7" s="39" t="s">
        <v>118</v>
      </c>
      <c r="D7" s="39">
        <v>6000</v>
      </c>
      <c r="E7" s="39">
        <v>1200</v>
      </c>
      <c r="F7" s="39">
        <v>17</v>
      </c>
      <c r="G7" s="39"/>
      <c r="H7" s="39">
        <v>17</v>
      </c>
      <c r="I7" s="43">
        <f t="shared" si="0"/>
        <v>122.4</v>
      </c>
      <c r="J7" s="46"/>
      <c r="K7" s="49">
        <f t="shared" ref="K7:K9" si="2">I7</f>
        <v>122.4</v>
      </c>
      <c r="L7" s="48"/>
      <c r="M7" s="48"/>
      <c r="N7" s="48"/>
      <c r="O7">
        <f t="shared" si="1"/>
        <v>122.4</v>
      </c>
    </row>
    <row r="8" spans="1:15" ht="19" customHeight="1">
      <c r="A8" s="116"/>
      <c r="B8" s="39" t="s">
        <v>119</v>
      </c>
      <c r="C8" s="39" t="s">
        <v>120</v>
      </c>
      <c r="D8" s="39">
        <v>8000</v>
      </c>
      <c r="E8" s="39">
        <v>1200</v>
      </c>
      <c r="F8" s="39">
        <v>5</v>
      </c>
      <c r="G8" s="39"/>
      <c r="H8" s="39">
        <v>5</v>
      </c>
      <c r="I8" s="43">
        <f t="shared" si="0"/>
        <v>48</v>
      </c>
      <c r="J8" s="46"/>
      <c r="K8" s="49">
        <f t="shared" si="2"/>
        <v>48</v>
      </c>
      <c r="L8" s="48"/>
      <c r="M8" s="48"/>
      <c r="N8" s="48"/>
      <c r="O8">
        <f t="shared" si="1"/>
        <v>46</v>
      </c>
    </row>
    <row r="9" spans="1:15" ht="19" customHeight="1">
      <c r="A9" s="117"/>
      <c r="B9" s="39" t="s">
        <v>121</v>
      </c>
      <c r="C9" s="39" t="s">
        <v>122</v>
      </c>
      <c r="D9" s="39">
        <v>10000</v>
      </c>
      <c r="E9" s="39">
        <v>1200</v>
      </c>
      <c r="F9" s="39">
        <v>2</v>
      </c>
      <c r="G9" s="39"/>
      <c r="H9" s="39">
        <v>2</v>
      </c>
      <c r="I9" s="43">
        <f t="shared" si="0"/>
        <v>24</v>
      </c>
      <c r="J9" s="46"/>
      <c r="K9" s="49">
        <f t="shared" si="2"/>
        <v>24</v>
      </c>
      <c r="L9" s="48"/>
      <c r="M9" s="48"/>
      <c r="N9" s="48"/>
      <c r="O9">
        <f t="shared" si="1"/>
        <v>22.4</v>
      </c>
    </row>
    <row r="10" spans="1:15" ht="19" customHeight="1">
      <c r="A10" s="118" t="s">
        <v>123</v>
      </c>
      <c r="B10" s="39" t="s">
        <v>124</v>
      </c>
      <c r="C10" s="39" t="s">
        <v>125</v>
      </c>
      <c r="D10" s="39">
        <v>6000</v>
      </c>
      <c r="E10" s="39">
        <v>1187</v>
      </c>
      <c r="F10" s="39">
        <v>2</v>
      </c>
      <c r="G10" s="39"/>
      <c r="H10" s="39">
        <v>2</v>
      </c>
      <c r="I10" s="43">
        <f t="shared" si="0"/>
        <v>14.244</v>
      </c>
      <c r="J10" s="46"/>
      <c r="K10" s="49"/>
      <c r="L10" s="48"/>
      <c r="M10" s="48"/>
      <c r="N10" s="48"/>
      <c r="O10">
        <f t="shared" si="1"/>
        <v>14.374000000000001</v>
      </c>
    </row>
    <row r="11" spans="1:15" ht="21" customHeight="1">
      <c r="A11" s="117"/>
      <c r="B11" s="39" t="s">
        <v>126</v>
      </c>
      <c r="C11" s="39" t="s">
        <v>135</v>
      </c>
      <c r="D11" s="39">
        <v>8000</v>
      </c>
      <c r="E11" s="39">
        <v>1187</v>
      </c>
      <c r="F11" s="39">
        <v>12</v>
      </c>
      <c r="G11" s="39"/>
      <c r="H11" s="39">
        <v>12</v>
      </c>
      <c r="I11" s="43">
        <f t="shared" si="0"/>
        <v>113.952</v>
      </c>
      <c r="J11" s="46"/>
      <c r="K11" s="49"/>
      <c r="L11" s="48"/>
      <c r="M11" s="48"/>
      <c r="N11" s="48"/>
      <c r="O11">
        <f t="shared" si="1"/>
        <v>110.244</v>
      </c>
    </row>
    <row r="12" spans="1:15" ht="21" customHeight="1">
      <c r="A12" s="41" t="s">
        <v>136</v>
      </c>
      <c r="B12" s="39" t="s">
        <v>127</v>
      </c>
      <c r="C12" s="39" t="s">
        <v>128</v>
      </c>
      <c r="D12" s="39">
        <v>8000</v>
      </c>
      <c r="E12" s="39">
        <v>6000</v>
      </c>
      <c r="F12" s="39">
        <v>3</v>
      </c>
      <c r="G12" s="39"/>
      <c r="H12" s="39">
        <v>3</v>
      </c>
      <c r="I12" s="43">
        <f t="shared" si="0"/>
        <v>144</v>
      </c>
      <c r="J12" s="46"/>
      <c r="K12" s="46"/>
      <c r="L12" s="50">
        <f>I12</f>
        <v>144</v>
      </c>
      <c r="M12" s="48"/>
      <c r="N12" s="48"/>
      <c r="O12">
        <f>(D12*2+E12)*0.5*H12/1000</f>
        <v>33</v>
      </c>
    </row>
    <row r="13" spans="1:15" ht="21" customHeight="1">
      <c r="A13" s="41" t="s">
        <v>137</v>
      </c>
      <c r="B13" s="39" t="s">
        <v>129</v>
      </c>
      <c r="C13" s="39" t="s">
        <v>128</v>
      </c>
      <c r="D13" s="39">
        <v>8000</v>
      </c>
      <c r="E13" s="39">
        <v>6000</v>
      </c>
      <c r="F13" s="39">
        <v>8</v>
      </c>
      <c r="G13" s="39"/>
      <c r="H13" s="39">
        <v>8</v>
      </c>
      <c r="I13" s="43">
        <f t="shared" si="0"/>
        <v>384</v>
      </c>
      <c r="J13" s="46"/>
      <c r="K13" s="46"/>
      <c r="L13" s="48"/>
      <c r="M13" s="50">
        <f>I13</f>
        <v>384</v>
      </c>
      <c r="N13" s="48"/>
      <c r="O13">
        <f t="shared" ref="O13:O14" si="3">(D13*2+E13)*0.5*H13/1000</f>
        <v>88</v>
      </c>
    </row>
    <row r="14" spans="1:15">
      <c r="A14" s="51" t="s">
        <v>138</v>
      </c>
      <c r="B14" s="40" t="s">
        <v>130</v>
      </c>
      <c r="C14" s="40" t="s">
        <v>131</v>
      </c>
      <c r="D14" s="40">
        <v>10000</v>
      </c>
      <c r="E14" s="40">
        <v>6000</v>
      </c>
      <c r="F14" s="40">
        <v>1</v>
      </c>
      <c r="G14" s="40"/>
      <c r="H14" s="52">
        <v>1</v>
      </c>
      <c r="I14" s="53">
        <f t="shared" si="0"/>
        <v>60</v>
      </c>
      <c r="J14" s="54"/>
      <c r="K14" s="54"/>
      <c r="L14" s="55"/>
      <c r="M14" s="55"/>
      <c r="N14" s="56">
        <f>I14</f>
        <v>60</v>
      </c>
      <c r="O14">
        <f t="shared" si="3"/>
        <v>13</v>
      </c>
    </row>
    <row r="15" spans="1:15" ht="17.5" customHeight="1">
      <c r="A15" s="48"/>
      <c r="B15" s="48"/>
      <c r="C15" s="48"/>
      <c r="D15" s="48"/>
      <c r="E15" s="48"/>
      <c r="F15" s="48"/>
      <c r="G15" s="48"/>
      <c r="H15" s="48"/>
      <c r="I15" s="48"/>
      <c r="J15" s="50">
        <f>SUM(J2:J14)</f>
        <v>237.60000000000002</v>
      </c>
      <c r="K15" s="48">
        <f t="shared" ref="K15:M15" si="4">SUM(K2:K14)</f>
        <v>291.60000000000002</v>
      </c>
      <c r="L15" s="50">
        <f t="shared" si="4"/>
        <v>144</v>
      </c>
      <c r="M15" s="50">
        <f t="shared" si="4"/>
        <v>384</v>
      </c>
      <c r="N15" s="50">
        <f>SUM(N2:N14)</f>
        <v>60</v>
      </c>
      <c r="O15" s="50">
        <f>SUM(O2:O14)</f>
        <v>641.61800000000005</v>
      </c>
    </row>
    <row r="16" spans="1:15">
      <c r="K16">
        <v>128.19999999999999</v>
      </c>
    </row>
  </sheetData>
  <mergeCells count="2">
    <mergeCell ref="A2:A9"/>
    <mergeCell ref="A10:A11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DC56"/>
  <sheetViews>
    <sheetView view="pageBreakPreview" zoomScaleNormal="100" workbookViewId="0">
      <pane xSplit="5" ySplit="4" topLeftCell="F54" activePane="bottomRight" state="frozen"/>
      <selection pane="topRight"/>
      <selection pane="bottomLeft"/>
      <selection pane="bottomRight" activeCell="C60" sqref="C60"/>
    </sheetView>
  </sheetViews>
  <sheetFormatPr defaultColWidth="9" defaultRowHeight="18" customHeight="1"/>
  <cols>
    <col min="1" max="1" width="5.25" style="23" customWidth="1"/>
    <col min="2" max="2" width="9.75" style="24" customWidth="1"/>
    <col min="3" max="3" width="38.6640625" style="23" customWidth="1"/>
    <col min="4" max="4" width="4.9140625" style="23" customWidth="1"/>
    <col min="5" max="5" width="8.75" style="25" customWidth="1"/>
    <col min="6" max="6" width="8.33203125" style="26" customWidth="1"/>
    <col min="7" max="7" width="8.5" style="23" customWidth="1"/>
    <col min="8" max="8" width="9.1640625" style="23" customWidth="1"/>
    <col min="9" max="9" width="10.6640625" style="100" customWidth="1"/>
    <col min="10" max="10" width="8.9140625" style="100" customWidth="1"/>
    <col min="11" max="11" width="13.4140625" style="79" customWidth="1"/>
    <col min="12" max="12" width="28.5" style="23" customWidth="1"/>
    <col min="13" max="13" width="10.75" style="8"/>
    <col min="14" max="16384" width="9" style="8"/>
  </cols>
  <sheetData>
    <row r="1" spans="1:13" ht="18" customHeight="1">
      <c r="A1" s="110" t="s">
        <v>63</v>
      </c>
      <c r="B1" s="111"/>
      <c r="C1" s="110"/>
      <c r="D1" s="110"/>
      <c r="E1" s="110"/>
      <c r="F1" s="110"/>
      <c r="G1" s="110"/>
      <c r="H1" s="110"/>
      <c r="I1" s="110"/>
      <c r="J1" s="110"/>
      <c r="K1" s="112"/>
      <c r="L1" s="110"/>
    </row>
    <row r="2" spans="1:13" ht="28.5" customHeight="1">
      <c r="A2" s="113" t="s">
        <v>0</v>
      </c>
      <c r="B2" s="106" t="s">
        <v>6</v>
      </c>
      <c r="C2" s="106" t="s">
        <v>7</v>
      </c>
      <c r="D2" s="113" t="s">
        <v>8</v>
      </c>
      <c r="E2" s="109" t="s">
        <v>9</v>
      </c>
      <c r="F2" s="109" t="s">
        <v>10</v>
      </c>
      <c r="G2" s="109"/>
      <c r="H2" s="109"/>
      <c r="I2" s="109"/>
      <c r="J2" s="109"/>
      <c r="K2" s="114" t="s">
        <v>11</v>
      </c>
      <c r="L2" s="113" t="s">
        <v>3</v>
      </c>
    </row>
    <row r="3" spans="1:13" ht="45" customHeight="1">
      <c r="A3" s="113"/>
      <c r="B3" s="106"/>
      <c r="C3" s="106"/>
      <c r="D3" s="113"/>
      <c r="E3" s="109"/>
      <c r="F3" s="10" t="s">
        <v>181</v>
      </c>
      <c r="G3" s="10" t="s">
        <v>12</v>
      </c>
      <c r="H3" s="10" t="s">
        <v>13</v>
      </c>
      <c r="I3" s="96" t="s">
        <v>14</v>
      </c>
      <c r="J3" s="96" t="s">
        <v>15</v>
      </c>
      <c r="K3" s="114"/>
      <c r="L3" s="113"/>
    </row>
    <row r="4" spans="1:13" ht="27" customHeight="1">
      <c r="A4" s="11" t="s">
        <v>16</v>
      </c>
      <c r="B4" s="12" t="s">
        <v>17</v>
      </c>
      <c r="C4" s="13"/>
      <c r="D4" s="11"/>
      <c r="E4" s="14"/>
      <c r="F4" s="9"/>
      <c r="G4" s="9"/>
      <c r="H4" s="9"/>
      <c r="I4" s="14"/>
      <c r="J4" s="14"/>
      <c r="K4" s="104">
        <f>SUM(K5:K30)</f>
        <v>0</v>
      </c>
      <c r="L4" s="11"/>
    </row>
    <row r="5" spans="1:13" ht="71" customHeight="1">
      <c r="A5" s="11">
        <v>1</v>
      </c>
      <c r="B5" s="27" t="s">
        <v>97</v>
      </c>
      <c r="C5" s="27" t="s">
        <v>78</v>
      </c>
      <c r="D5" s="11" t="s">
        <v>18</v>
      </c>
      <c r="E5" s="14">
        <f>79.5+3.47</f>
        <v>82.97</v>
      </c>
      <c r="F5" s="86"/>
      <c r="G5" s="86"/>
      <c r="H5" s="86"/>
      <c r="I5" s="14"/>
      <c r="J5" s="14">
        <f>SUM(F5:I5)</f>
        <v>0</v>
      </c>
      <c r="K5" s="104">
        <f>J5*E5</f>
        <v>0</v>
      </c>
      <c r="L5" s="106" t="s">
        <v>19</v>
      </c>
    </row>
    <row r="6" spans="1:13" ht="75.5" customHeight="1">
      <c r="A6" s="11">
        <v>2</v>
      </c>
      <c r="B6" s="27" t="s">
        <v>64</v>
      </c>
      <c r="C6" s="27" t="s">
        <v>79</v>
      </c>
      <c r="D6" s="11" t="s">
        <v>18</v>
      </c>
      <c r="E6" s="14">
        <f>531.33+15.84</f>
        <v>547.17000000000007</v>
      </c>
      <c r="F6" s="86"/>
      <c r="G6" s="86"/>
      <c r="H6" s="86"/>
      <c r="I6" s="14"/>
      <c r="J6" s="14">
        <f>SUM(F6:I6)</f>
        <v>0</v>
      </c>
      <c r="K6" s="104">
        <f>J6*E6</f>
        <v>0</v>
      </c>
      <c r="L6" s="106"/>
      <c r="M6" s="28"/>
    </row>
    <row r="7" spans="1:13" ht="70" customHeight="1">
      <c r="A7" s="59">
        <v>3</v>
      </c>
      <c r="B7" s="12" t="s">
        <v>66</v>
      </c>
      <c r="C7" s="12" t="s">
        <v>80</v>
      </c>
      <c r="D7" s="11" t="s">
        <v>18</v>
      </c>
      <c r="E7" s="14">
        <f>32.57+3.31</f>
        <v>35.880000000000003</v>
      </c>
      <c r="F7" s="86"/>
      <c r="G7" s="86"/>
      <c r="H7" s="86"/>
      <c r="I7" s="14"/>
      <c r="J7" s="14">
        <f t="shared" ref="J7:J48" si="0">SUM(F7:I7)</f>
        <v>0</v>
      </c>
      <c r="K7" s="104">
        <f t="shared" ref="K7:K48" si="1">J7*E7</f>
        <v>0</v>
      </c>
      <c r="L7" s="106"/>
    </row>
    <row r="8" spans="1:13" ht="72.5" customHeight="1">
      <c r="A8" s="59">
        <v>4</v>
      </c>
      <c r="B8" s="12" t="s">
        <v>65</v>
      </c>
      <c r="C8" s="27" t="s">
        <v>81</v>
      </c>
      <c r="D8" s="11" t="s">
        <v>18</v>
      </c>
      <c r="E8" s="14">
        <f>307.02+318.89+23.5*2</f>
        <v>672.91</v>
      </c>
      <c r="F8" s="86"/>
      <c r="G8" s="86"/>
      <c r="H8" s="86"/>
      <c r="I8" s="14"/>
      <c r="J8" s="14">
        <f t="shared" si="0"/>
        <v>0</v>
      </c>
      <c r="K8" s="104">
        <f t="shared" si="1"/>
        <v>0</v>
      </c>
      <c r="L8" s="106"/>
    </row>
    <row r="9" spans="1:13" ht="90" customHeight="1">
      <c r="A9" s="59">
        <v>5</v>
      </c>
      <c r="B9" s="12" t="s">
        <v>33</v>
      </c>
      <c r="C9" s="27" t="s">
        <v>82</v>
      </c>
      <c r="D9" s="11" t="s">
        <v>18</v>
      </c>
      <c r="E9" s="14">
        <f>83.4+8.5</f>
        <v>91.9</v>
      </c>
      <c r="F9" s="86"/>
      <c r="G9" s="86"/>
      <c r="H9" s="86"/>
      <c r="I9" s="14"/>
      <c r="J9" s="14">
        <f t="shared" si="0"/>
        <v>0</v>
      </c>
      <c r="K9" s="104">
        <f t="shared" si="1"/>
        <v>0</v>
      </c>
      <c r="L9" s="106"/>
    </row>
    <row r="10" spans="1:13" ht="90" customHeight="1">
      <c r="A10" s="65">
        <v>5</v>
      </c>
      <c r="B10" s="12" t="s">
        <v>180</v>
      </c>
      <c r="C10" s="27" t="s">
        <v>82</v>
      </c>
      <c r="D10" s="65" t="s">
        <v>18</v>
      </c>
      <c r="E10" s="14">
        <v>53.12</v>
      </c>
      <c r="F10" s="86"/>
      <c r="G10" s="86"/>
      <c r="H10" s="86"/>
      <c r="I10" s="14"/>
      <c r="J10" s="14">
        <f t="shared" ref="J10" si="2">SUM(F10:I10)</f>
        <v>0</v>
      </c>
      <c r="K10" s="104">
        <f t="shared" ref="K10" si="3">J10*E10</f>
        <v>0</v>
      </c>
      <c r="L10" s="119"/>
    </row>
    <row r="11" spans="1:13" ht="86.5" customHeight="1">
      <c r="A11" s="59">
        <v>6</v>
      </c>
      <c r="B11" s="12" t="s">
        <v>67</v>
      </c>
      <c r="C11" s="27" t="s">
        <v>83</v>
      </c>
      <c r="D11" s="11" t="s">
        <v>18</v>
      </c>
      <c r="E11" s="14">
        <v>11.25</v>
      </c>
      <c r="F11" s="86"/>
      <c r="G11" s="86"/>
      <c r="H11" s="86"/>
      <c r="I11" s="14"/>
      <c r="J11" s="14">
        <f>SUM(F11:I11)</f>
        <v>0</v>
      </c>
      <c r="K11" s="104">
        <f>J11*E11</f>
        <v>0</v>
      </c>
      <c r="L11" s="106"/>
    </row>
    <row r="12" spans="1:13" ht="83" customHeight="1">
      <c r="A12" s="59">
        <v>7</v>
      </c>
      <c r="B12" s="12" t="s">
        <v>68</v>
      </c>
      <c r="C12" s="12" t="s">
        <v>84</v>
      </c>
      <c r="D12" s="11" t="s">
        <v>18</v>
      </c>
      <c r="E12" s="14">
        <v>32.840000000000003</v>
      </c>
      <c r="F12" s="86"/>
      <c r="G12" s="86"/>
      <c r="H12" s="86"/>
      <c r="I12" s="14"/>
      <c r="J12" s="14">
        <f t="shared" si="0"/>
        <v>0</v>
      </c>
      <c r="K12" s="104">
        <f t="shared" si="1"/>
        <v>0</v>
      </c>
      <c r="L12" s="106"/>
    </row>
    <row r="13" spans="1:13" ht="75.5" customHeight="1">
      <c r="A13" s="59">
        <v>8</v>
      </c>
      <c r="B13" s="12" t="s">
        <v>69</v>
      </c>
      <c r="C13" s="27" t="s">
        <v>85</v>
      </c>
      <c r="D13" s="11" t="s">
        <v>18</v>
      </c>
      <c r="E13" s="14">
        <v>17.66</v>
      </c>
      <c r="F13" s="86"/>
      <c r="G13" s="86"/>
      <c r="H13" s="86"/>
      <c r="I13" s="14"/>
      <c r="J13" s="14">
        <f t="shared" si="0"/>
        <v>0</v>
      </c>
      <c r="K13" s="104">
        <f t="shared" si="1"/>
        <v>0</v>
      </c>
      <c r="L13" s="106"/>
    </row>
    <row r="14" spans="1:13" ht="87.5" customHeight="1">
      <c r="A14" s="59">
        <v>9</v>
      </c>
      <c r="B14" s="12" t="s">
        <v>70</v>
      </c>
      <c r="C14" s="27" t="s">
        <v>86</v>
      </c>
      <c r="D14" s="11" t="s">
        <v>18</v>
      </c>
      <c r="E14" s="14">
        <v>29.23</v>
      </c>
      <c r="F14" s="86"/>
      <c r="G14" s="86"/>
      <c r="H14" s="86"/>
      <c r="I14" s="14"/>
      <c r="J14" s="14">
        <f t="shared" si="0"/>
        <v>0</v>
      </c>
      <c r="K14" s="104">
        <f t="shared" si="1"/>
        <v>0</v>
      </c>
      <c r="L14" s="106"/>
    </row>
    <row r="15" spans="1:13" ht="91" customHeight="1">
      <c r="A15" s="59">
        <v>10</v>
      </c>
      <c r="B15" s="12" t="s">
        <v>152</v>
      </c>
      <c r="C15" s="12" t="s">
        <v>95</v>
      </c>
      <c r="D15" s="11" t="s">
        <v>18</v>
      </c>
      <c r="E15" s="14">
        <f>6.67+5.3</f>
        <v>11.969999999999999</v>
      </c>
      <c r="F15" s="86"/>
      <c r="G15" s="86"/>
      <c r="H15" s="86"/>
      <c r="I15" s="14"/>
      <c r="J15" s="14">
        <f t="shared" si="0"/>
        <v>0</v>
      </c>
      <c r="K15" s="104">
        <f t="shared" si="1"/>
        <v>0</v>
      </c>
      <c r="L15" s="106"/>
    </row>
    <row r="16" spans="1:13" ht="87" customHeight="1">
      <c r="A16" s="59">
        <v>11</v>
      </c>
      <c r="B16" s="12" t="s">
        <v>184</v>
      </c>
      <c r="C16" s="12" t="s">
        <v>185</v>
      </c>
      <c r="D16" s="11" t="s">
        <v>18</v>
      </c>
      <c r="E16" s="14">
        <f>16.191+4.7</f>
        <v>20.890999999999998</v>
      </c>
      <c r="F16" s="86"/>
      <c r="G16" s="86"/>
      <c r="H16" s="86"/>
      <c r="I16" s="14"/>
      <c r="J16" s="14">
        <f t="shared" si="0"/>
        <v>0</v>
      </c>
      <c r="K16" s="104">
        <f t="shared" si="1"/>
        <v>0</v>
      </c>
      <c r="L16" s="106"/>
    </row>
    <row r="17" spans="1:12" ht="83" customHeight="1">
      <c r="A17" s="59">
        <v>12</v>
      </c>
      <c r="B17" s="12" t="s">
        <v>34</v>
      </c>
      <c r="C17" s="12" t="s">
        <v>88</v>
      </c>
      <c r="D17" s="11" t="s">
        <v>18</v>
      </c>
      <c r="E17" s="14">
        <v>39.25</v>
      </c>
      <c r="F17" s="86"/>
      <c r="G17" s="86"/>
      <c r="H17" s="86"/>
      <c r="I17" s="14"/>
      <c r="J17" s="14">
        <f t="shared" si="0"/>
        <v>0</v>
      </c>
      <c r="K17" s="104">
        <f t="shared" si="1"/>
        <v>0</v>
      </c>
      <c r="L17" s="106"/>
    </row>
    <row r="18" spans="1:12" ht="80.5" customHeight="1">
      <c r="A18" s="90">
        <v>13</v>
      </c>
      <c r="B18" s="12" t="s">
        <v>98</v>
      </c>
      <c r="C18" s="12" t="s">
        <v>99</v>
      </c>
      <c r="D18" s="90" t="s">
        <v>18</v>
      </c>
      <c r="E18" s="14">
        <f>SUM(E5:E17,E21:E22)*0.035*0.3</f>
        <v>18.437275500000002</v>
      </c>
      <c r="F18" s="89"/>
      <c r="G18" s="89"/>
      <c r="H18" s="89"/>
      <c r="I18" s="14"/>
      <c r="J18" s="14">
        <f t="shared" ref="J18" si="4">SUM(F18:I18)</f>
        <v>0</v>
      </c>
      <c r="K18" s="104">
        <f t="shared" ref="K18" si="5">J18*E18</f>
        <v>0</v>
      </c>
      <c r="L18" s="119"/>
    </row>
    <row r="19" spans="1:12" ht="80.5" customHeight="1">
      <c r="A19" s="59">
        <v>14</v>
      </c>
      <c r="B19" s="12" t="s">
        <v>141</v>
      </c>
      <c r="C19" s="12" t="s">
        <v>87</v>
      </c>
      <c r="D19" s="11" t="s">
        <v>18</v>
      </c>
      <c r="E19" s="14">
        <f>SUM(E5:E17,E21:E22)*0.035*0.7</f>
        <v>43.020309500000003</v>
      </c>
      <c r="F19" s="86"/>
      <c r="G19" s="86"/>
      <c r="H19" s="86"/>
      <c r="I19" s="14"/>
      <c r="J19" s="14">
        <f t="shared" si="0"/>
        <v>0</v>
      </c>
      <c r="K19" s="104">
        <f t="shared" si="1"/>
        <v>0</v>
      </c>
      <c r="L19" s="106"/>
    </row>
    <row r="20" spans="1:12" ht="86.5" customHeight="1">
      <c r="A20" s="72">
        <v>15</v>
      </c>
      <c r="B20" s="73" t="s">
        <v>226</v>
      </c>
      <c r="C20" s="12" t="s">
        <v>188</v>
      </c>
      <c r="D20" s="70" t="s">
        <v>18</v>
      </c>
      <c r="E20" s="80">
        <f>14.75+3</f>
        <v>17.75</v>
      </c>
      <c r="F20" s="86"/>
      <c r="G20" s="86"/>
      <c r="H20" s="86"/>
      <c r="I20" s="14"/>
      <c r="J20" s="14">
        <f t="shared" ref="J20" si="6">SUM(F20:I20)</f>
        <v>0</v>
      </c>
      <c r="K20" s="104">
        <f t="shared" ref="K20" si="7">J20*E20</f>
        <v>0</v>
      </c>
      <c r="L20" s="71"/>
    </row>
    <row r="21" spans="1:12" ht="72" customHeight="1">
      <c r="A21" s="59">
        <v>16</v>
      </c>
      <c r="B21" s="12" t="s">
        <v>36</v>
      </c>
      <c r="C21" s="12" t="s">
        <v>89</v>
      </c>
      <c r="D21" s="11" t="s">
        <v>18</v>
      </c>
      <c r="E21" s="14">
        <v>80.040999999999997</v>
      </c>
      <c r="F21" s="86"/>
      <c r="G21" s="86"/>
      <c r="H21" s="86"/>
      <c r="I21" s="14"/>
      <c r="J21" s="14">
        <f t="shared" si="0"/>
        <v>0</v>
      </c>
      <c r="K21" s="104">
        <f t="shared" si="1"/>
        <v>0</v>
      </c>
      <c r="L21" s="15" t="s">
        <v>20</v>
      </c>
    </row>
    <row r="22" spans="1:12" ht="76.5" customHeight="1">
      <c r="A22" s="59">
        <v>17</v>
      </c>
      <c r="B22" s="12" t="s">
        <v>35</v>
      </c>
      <c r="C22" s="12" t="s">
        <v>89</v>
      </c>
      <c r="D22" s="11" t="s">
        <v>18</v>
      </c>
      <c r="E22" s="14">
        <v>28.849</v>
      </c>
      <c r="F22" s="86"/>
      <c r="G22" s="86"/>
      <c r="H22" s="86"/>
      <c r="I22" s="14"/>
      <c r="J22" s="14">
        <f t="shared" si="0"/>
        <v>0</v>
      </c>
      <c r="K22" s="104">
        <f t="shared" si="1"/>
        <v>0</v>
      </c>
      <c r="L22" s="15" t="s">
        <v>20</v>
      </c>
    </row>
    <row r="23" spans="1:12" ht="68" customHeight="1">
      <c r="A23" s="59">
        <v>18</v>
      </c>
      <c r="B23" s="30" t="s">
        <v>76</v>
      </c>
      <c r="C23" s="31" t="s">
        <v>93</v>
      </c>
      <c r="D23" s="32" t="s">
        <v>18</v>
      </c>
      <c r="E23" s="14">
        <v>42.12</v>
      </c>
      <c r="F23" s="86"/>
      <c r="G23" s="86"/>
      <c r="H23" s="86"/>
      <c r="I23" s="14"/>
      <c r="J23" s="14">
        <f t="shared" ref="J23" si="8">SUM(F23:I23)</f>
        <v>0</v>
      </c>
      <c r="K23" s="104">
        <f t="shared" ref="K23" si="9">J23*E23</f>
        <v>0</v>
      </c>
      <c r="L23" s="15"/>
    </row>
    <row r="24" spans="1:12" ht="59" customHeight="1">
      <c r="A24" s="74">
        <v>19</v>
      </c>
      <c r="B24" s="30" t="s">
        <v>212</v>
      </c>
      <c r="C24" s="31" t="s">
        <v>213</v>
      </c>
      <c r="D24" s="32" t="s">
        <v>77</v>
      </c>
      <c r="E24" s="14">
        <f>4.946+1.25</f>
        <v>6.1959999999999997</v>
      </c>
      <c r="F24" s="86"/>
      <c r="G24" s="86"/>
      <c r="H24" s="86"/>
      <c r="I24" s="14"/>
      <c r="J24" s="14">
        <f t="shared" ref="J24" si="10">SUM(F24:I24)</f>
        <v>0</v>
      </c>
      <c r="K24" s="104">
        <f t="shared" ref="K24" si="11">J24*E24</f>
        <v>0</v>
      </c>
      <c r="L24" s="15"/>
    </row>
    <row r="25" spans="1:12" ht="49.5" customHeight="1">
      <c r="A25" s="59">
        <v>20</v>
      </c>
      <c r="B25" s="12" t="s">
        <v>43</v>
      </c>
      <c r="C25" s="12" t="s">
        <v>201</v>
      </c>
      <c r="D25" s="11" t="s">
        <v>18</v>
      </c>
      <c r="E25" s="14">
        <f>E5+E6+E13+E17</f>
        <v>687.05000000000007</v>
      </c>
      <c r="F25" s="86"/>
      <c r="G25" s="86"/>
      <c r="H25" s="86"/>
      <c r="I25" s="14"/>
      <c r="J25" s="14">
        <f t="shared" si="0"/>
        <v>0</v>
      </c>
      <c r="K25" s="104">
        <f t="shared" si="1"/>
        <v>0</v>
      </c>
      <c r="L25" s="15" t="s">
        <v>21</v>
      </c>
    </row>
    <row r="26" spans="1:12" ht="52.5" customHeight="1">
      <c r="A26" s="59">
        <v>21</v>
      </c>
      <c r="B26" s="12" t="s">
        <v>44</v>
      </c>
      <c r="C26" s="12" t="s">
        <v>202</v>
      </c>
      <c r="D26" s="11" t="s">
        <v>18</v>
      </c>
      <c r="E26" s="14">
        <f>E7+E8+E9+E11+E12+E14+E16+E19</f>
        <v>937.92130950000001</v>
      </c>
      <c r="F26" s="86"/>
      <c r="G26" s="86"/>
      <c r="H26" s="86"/>
      <c r="I26" s="14"/>
      <c r="J26" s="14">
        <f t="shared" si="0"/>
        <v>0</v>
      </c>
      <c r="K26" s="104">
        <f t="shared" si="1"/>
        <v>0</v>
      </c>
      <c r="L26" s="15" t="s">
        <v>21</v>
      </c>
    </row>
    <row r="27" spans="1:12" ht="52.5" customHeight="1">
      <c r="A27" s="70">
        <v>22</v>
      </c>
      <c r="B27" s="12" t="s">
        <v>142</v>
      </c>
      <c r="C27" s="12" t="s">
        <v>203</v>
      </c>
      <c r="D27" s="70" t="s">
        <v>18</v>
      </c>
      <c r="E27" s="14">
        <f>E20+E24</f>
        <v>23.945999999999998</v>
      </c>
      <c r="F27" s="86"/>
      <c r="G27" s="86"/>
      <c r="H27" s="86"/>
      <c r="I27" s="14"/>
      <c r="J27" s="14">
        <f t="shared" ref="J27" si="12">SUM(F27:I27)</f>
        <v>0</v>
      </c>
      <c r="K27" s="104">
        <f t="shared" si="1"/>
        <v>0</v>
      </c>
      <c r="L27" s="69" t="s">
        <v>21</v>
      </c>
    </row>
    <row r="28" spans="1:12" ht="52.5" customHeight="1">
      <c r="A28" s="90">
        <v>23</v>
      </c>
      <c r="B28" s="12" t="s">
        <v>142</v>
      </c>
      <c r="C28" s="12" t="s">
        <v>204</v>
      </c>
      <c r="D28" s="90" t="s">
        <v>18</v>
      </c>
      <c r="E28" s="14">
        <f>E18</f>
        <v>18.437275500000002</v>
      </c>
      <c r="F28" s="89"/>
      <c r="G28" s="89"/>
      <c r="H28" s="89"/>
      <c r="I28" s="14"/>
      <c r="J28" s="14">
        <f t="shared" ref="J28" si="13">SUM(F28:I28)</f>
        <v>0</v>
      </c>
      <c r="K28" s="104">
        <f t="shared" ref="K28" si="14">J28*E28</f>
        <v>0</v>
      </c>
      <c r="L28" s="88" t="s">
        <v>21</v>
      </c>
    </row>
    <row r="29" spans="1:12" ht="64" customHeight="1">
      <c r="A29" s="74">
        <v>24</v>
      </c>
      <c r="B29" s="12" t="s">
        <v>72</v>
      </c>
      <c r="C29" s="31" t="s">
        <v>74</v>
      </c>
      <c r="D29" s="11" t="s">
        <v>73</v>
      </c>
      <c r="E29" s="14">
        <v>9795.51</v>
      </c>
      <c r="F29" s="9"/>
      <c r="G29" s="9"/>
      <c r="H29" s="9"/>
      <c r="I29" s="14"/>
      <c r="J29" s="14">
        <f t="shared" ref="J29" si="15">SUM(F29:I29)</f>
        <v>0</v>
      </c>
      <c r="K29" s="104">
        <f t="shared" ref="K29" si="16">J29*E29</f>
        <v>0</v>
      </c>
      <c r="L29" s="15" t="s">
        <v>21</v>
      </c>
    </row>
    <row r="30" spans="1:12" ht="64" customHeight="1">
      <c r="A30" s="74">
        <v>25</v>
      </c>
      <c r="B30" s="12" t="s">
        <v>72</v>
      </c>
      <c r="C30" s="31" t="s">
        <v>75</v>
      </c>
      <c r="D30" s="11" t="s">
        <v>73</v>
      </c>
      <c r="E30" s="14">
        <v>88.35</v>
      </c>
      <c r="F30" s="9"/>
      <c r="G30" s="9"/>
      <c r="H30" s="9"/>
      <c r="I30" s="14"/>
      <c r="J30" s="14">
        <f t="shared" ref="J30" si="17">SUM(F30:I30)</f>
        <v>0</v>
      </c>
      <c r="K30" s="104">
        <f t="shared" ref="K30" si="18">J30*E30</f>
        <v>0</v>
      </c>
      <c r="L30" s="15" t="s">
        <v>21</v>
      </c>
    </row>
    <row r="31" spans="1:12" s="16" customFormat="1" ht="27" customHeight="1">
      <c r="A31" s="11" t="s">
        <v>25</v>
      </c>
      <c r="B31" s="12" t="s">
        <v>55</v>
      </c>
      <c r="C31" s="13"/>
      <c r="D31" s="11"/>
      <c r="E31" s="14"/>
      <c r="F31" s="9"/>
      <c r="G31" s="9"/>
      <c r="H31" s="9"/>
      <c r="I31" s="14"/>
      <c r="J31" s="14">
        <f t="shared" si="0"/>
        <v>0</v>
      </c>
      <c r="K31" s="104">
        <f>SUM(K32:K39)</f>
        <v>0</v>
      </c>
      <c r="L31" s="11"/>
    </row>
    <row r="32" spans="1:12" s="16" customFormat="1" ht="45" customHeight="1">
      <c r="A32" s="74">
        <v>26</v>
      </c>
      <c r="B32" s="12" t="s">
        <v>26</v>
      </c>
      <c r="C32" s="12" t="s">
        <v>191</v>
      </c>
      <c r="D32" s="11" t="s">
        <v>4</v>
      </c>
      <c r="E32" s="14">
        <f>632.15*2</f>
        <v>1264.3</v>
      </c>
      <c r="F32" s="86"/>
      <c r="G32" s="86"/>
      <c r="H32" s="86"/>
      <c r="I32" s="14"/>
      <c r="J32" s="14">
        <f t="shared" si="0"/>
        <v>0</v>
      </c>
      <c r="K32" s="104">
        <f t="shared" si="1"/>
        <v>0</v>
      </c>
      <c r="L32" s="15" t="s">
        <v>20</v>
      </c>
    </row>
    <row r="33" spans="1:12 16314:16331" s="16" customFormat="1" ht="66.5" customHeight="1">
      <c r="A33" s="74">
        <v>27</v>
      </c>
      <c r="B33" s="12" t="s">
        <v>37</v>
      </c>
      <c r="C33" s="12" t="s">
        <v>172</v>
      </c>
      <c r="D33" s="11" t="s">
        <v>4</v>
      </c>
      <c r="E33" s="14">
        <v>7058.43</v>
      </c>
      <c r="F33" s="86"/>
      <c r="G33" s="86"/>
      <c r="H33" s="86"/>
      <c r="I33" s="14"/>
      <c r="J33" s="14">
        <f t="shared" si="0"/>
        <v>0</v>
      </c>
      <c r="K33" s="104">
        <f t="shared" si="1"/>
        <v>0</v>
      </c>
      <c r="L33" s="15" t="s">
        <v>27</v>
      </c>
    </row>
    <row r="34" spans="1:12 16314:16331" ht="36" customHeight="1">
      <c r="A34" s="90">
        <v>28</v>
      </c>
      <c r="B34" s="12" t="s">
        <v>221</v>
      </c>
      <c r="C34" s="12" t="s">
        <v>220</v>
      </c>
      <c r="D34" s="90" t="s">
        <v>4</v>
      </c>
      <c r="E34" s="14">
        <v>556.04</v>
      </c>
      <c r="F34" s="89"/>
      <c r="G34" s="89"/>
      <c r="H34" s="89"/>
      <c r="I34" s="14"/>
      <c r="J34" s="14">
        <f t="shared" ref="J34" si="19">SUM(F34:I34)</f>
        <v>0</v>
      </c>
      <c r="K34" s="104">
        <f t="shared" ref="K34" si="20">J34*E34</f>
        <v>0</v>
      </c>
      <c r="L34" s="88" t="s">
        <v>20</v>
      </c>
    </row>
    <row r="35" spans="1:12 16314:16331" ht="36" customHeight="1">
      <c r="A35" s="74">
        <v>29</v>
      </c>
      <c r="B35" s="12" t="s">
        <v>222</v>
      </c>
      <c r="C35" s="12" t="s">
        <v>223</v>
      </c>
      <c r="D35" s="11" t="s">
        <v>4</v>
      </c>
      <c r="E35" s="14">
        <v>1049.44</v>
      </c>
      <c r="F35" s="86"/>
      <c r="G35" s="86"/>
      <c r="H35" s="86"/>
      <c r="I35" s="14"/>
      <c r="J35" s="14">
        <f t="shared" si="0"/>
        <v>0</v>
      </c>
      <c r="K35" s="104">
        <f t="shared" si="1"/>
        <v>0</v>
      </c>
      <c r="L35" s="15" t="s">
        <v>20</v>
      </c>
    </row>
    <row r="36" spans="1:12 16314:16331" ht="35" customHeight="1">
      <c r="A36" s="74">
        <v>30</v>
      </c>
      <c r="B36" s="66" t="s">
        <v>176</v>
      </c>
      <c r="C36" s="67" t="s">
        <v>177</v>
      </c>
      <c r="D36" s="64" t="s">
        <v>22</v>
      </c>
      <c r="E36" s="14">
        <v>626.66</v>
      </c>
      <c r="F36" s="86"/>
      <c r="G36" s="86"/>
      <c r="H36" s="86"/>
      <c r="I36" s="14"/>
      <c r="J36" s="14">
        <f t="shared" si="0"/>
        <v>0</v>
      </c>
      <c r="K36" s="104">
        <f t="shared" si="1"/>
        <v>0</v>
      </c>
      <c r="L36" s="15" t="s">
        <v>27</v>
      </c>
      <c r="XCL36" s="29"/>
      <c r="XCM36" s="29"/>
      <c r="XCN36" s="29"/>
      <c r="XCO36" s="29"/>
      <c r="XCP36" s="29"/>
      <c r="XCQ36" s="29"/>
      <c r="XCR36" s="29"/>
      <c r="XCS36" s="29"/>
      <c r="XCT36" s="29"/>
      <c r="XCU36" s="29"/>
      <c r="XCV36" s="29"/>
      <c r="XCW36" s="29"/>
      <c r="XCX36" s="29"/>
      <c r="XCY36" s="29"/>
      <c r="XCZ36" s="29"/>
      <c r="XDA36" s="29"/>
      <c r="XDB36" s="29"/>
      <c r="XDC36" s="29"/>
    </row>
    <row r="37" spans="1:12 16314:16331" ht="35" customHeight="1">
      <c r="A37" s="74">
        <v>31</v>
      </c>
      <c r="B37" s="66" t="s">
        <v>178</v>
      </c>
      <c r="C37" s="68" t="s">
        <v>215</v>
      </c>
      <c r="D37" s="64" t="s">
        <v>28</v>
      </c>
      <c r="E37" s="14">
        <v>20</v>
      </c>
      <c r="F37" s="86"/>
      <c r="G37" s="86"/>
      <c r="H37" s="86"/>
      <c r="I37" s="14"/>
      <c r="J37" s="14">
        <f>SUM(F37:I37)</f>
        <v>0</v>
      </c>
      <c r="K37" s="104">
        <f>J37*E37</f>
        <v>0</v>
      </c>
      <c r="L37" s="15" t="s">
        <v>27</v>
      </c>
      <c r="XCL37" s="29"/>
      <c r="XCM37" s="29"/>
      <c r="XCN37" s="29"/>
      <c r="XCO37" s="29"/>
      <c r="XCP37" s="29"/>
      <c r="XCQ37" s="29"/>
      <c r="XCR37" s="29"/>
      <c r="XCS37" s="29"/>
      <c r="XCT37" s="29"/>
      <c r="XCU37" s="29"/>
      <c r="XCV37" s="29"/>
      <c r="XCW37" s="29"/>
      <c r="XCX37" s="29"/>
      <c r="XCY37" s="29"/>
      <c r="XCZ37" s="29"/>
      <c r="XDA37" s="29"/>
      <c r="XDB37" s="29"/>
      <c r="XDC37" s="29"/>
    </row>
    <row r="38" spans="1:12 16314:16331" ht="44" customHeight="1">
      <c r="A38" s="74">
        <v>32</v>
      </c>
      <c r="B38" s="12" t="s">
        <v>29</v>
      </c>
      <c r="C38" s="12" t="s">
        <v>205</v>
      </c>
      <c r="D38" s="11" t="s">
        <v>47</v>
      </c>
      <c r="E38" s="14">
        <v>238.06700000000001</v>
      </c>
      <c r="F38" s="86"/>
      <c r="G38" s="86"/>
      <c r="H38" s="86"/>
      <c r="I38" s="14"/>
      <c r="J38" s="14">
        <f t="shared" si="0"/>
        <v>0</v>
      </c>
      <c r="K38" s="104">
        <f t="shared" si="1"/>
        <v>0</v>
      </c>
      <c r="L38" s="15" t="s">
        <v>27</v>
      </c>
    </row>
    <row r="39" spans="1:12 16314:16331" ht="31.5" customHeight="1">
      <c r="A39" s="72">
        <v>33</v>
      </c>
      <c r="B39" s="73" t="s">
        <v>206</v>
      </c>
      <c r="C39" s="73" t="s">
        <v>207</v>
      </c>
      <c r="D39" s="72" t="s">
        <v>208</v>
      </c>
      <c r="E39" s="80">
        <v>14</v>
      </c>
      <c r="F39" s="93"/>
      <c r="G39" s="93"/>
      <c r="H39" s="93"/>
      <c r="I39" s="80"/>
      <c r="J39" s="14">
        <f t="shared" ref="J39" si="21">SUM(F39:I39)</f>
        <v>0</v>
      </c>
      <c r="K39" s="104">
        <f t="shared" ref="K39" si="22">J39*E39</f>
        <v>0</v>
      </c>
      <c r="L39" s="91"/>
    </row>
    <row r="40" spans="1:12 16314:16331" s="16" customFormat="1" ht="36.5" customHeight="1">
      <c r="A40" s="11" t="s">
        <v>30</v>
      </c>
      <c r="B40" s="12" t="s">
        <v>50</v>
      </c>
      <c r="C40" s="13"/>
      <c r="D40" s="11"/>
      <c r="E40" s="14"/>
      <c r="F40" s="9"/>
      <c r="G40" s="9"/>
      <c r="H40" s="9"/>
      <c r="I40" s="14"/>
      <c r="J40" s="14">
        <f t="shared" si="0"/>
        <v>0</v>
      </c>
      <c r="K40" s="104">
        <f>SUM(K41:K49)</f>
        <v>0</v>
      </c>
      <c r="L40" s="15"/>
    </row>
    <row r="41" spans="1:12 16314:16331" s="16" customFormat="1" ht="36.5" customHeight="1">
      <c r="A41" s="11">
        <v>34</v>
      </c>
      <c r="B41" s="12" t="s">
        <v>71</v>
      </c>
      <c r="C41" s="12" t="s">
        <v>232</v>
      </c>
      <c r="D41" s="11" t="s">
        <v>4</v>
      </c>
      <c r="E41" s="14">
        <v>10.5</v>
      </c>
      <c r="F41" s="9"/>
      <c r="G41" s="9"/>
      <c r="H41" s="9"/>
      <c r="I41" s="14"/>
      <c r="J41" s="14">
        <f t="shared" si="0"/>
        <v>0</v>
      </c>
      <c r="K41" s="104">
        <f t="shared" si="1"/>
        <v>0</v>
      </c>
      <c r="L41" s="15"/>
    </row>
    <row r="42" spans="1:12 16314:16331" s="16" customFormat="1" ht="36.5" customHeight="1">
      <c r="A42" s="11">
        <v>35</v>
      </c>
      <c r="B42" s="12" t="s">
        <v>230</v>
      </c>
      <c r="C42" s="12" t="s">
        <v>231</v>
      </c>
      <c r="D42" s="11" t="s">
        <v>4</v>
      </c>
      <c r="E42" s="14">
        <v>82.72</v>
      </c>
      <c r="F42" s="9"/>
      <c r="G42" s="9"/>
      <c r="H42" s="9"/>
      <c r="I42" s="14"/>
      <c r="J42" s="14">
        <f t="shared" si="0"/>
        <v>0</v>
      </c>
      <c r="K42" s="104">
        <f t="shared" si="1"/>
        <v>0</v>
      </c>
      <c r="L42" s="15"/>
    </row>
    <row r="43" spans="1:12 16314:16331" s="16" customFormat="1" ht="36.5" customHeight="1">
      <c r="A43" s="103">
        <v>36</v>
      </c>
      <c r="B43" s="12" t="s">
        <v>228</v>
      </c>
      <c r="C43" s="12" t="s">
        <v>229</v>
      </c>
      <c r="D43" s="11" t="s">
        <v>4</v>
      </c>
      <c r="E43" s="14">
        <v>4.32</v>
      </c>
      <c r="F43" s="9"/>
      <c r="G43" s="9"/>
      <c r="H43" s="9"/>
      <c r="I43" s="14"/>
      <c r="J43" s="14">
        <f t="shared" si="0"/>
        <v>0</v>
      </c>
      <c r="K43" s="104">
        <f t="shared" si="1"/>
        <v>0</v>
      </c>
      <c r="L43" s="15"/>
    </row>
    <row r="44" spans="1:12 16314:16331" s="16" customFormat="1" ht="36.5" customHeight="1">
      <c r="A44" s="103">
        <v>37</v>
      </c>
      <c r="B44" s="12" t="s">
        <v>41</v>
      </c>
      <c r="C44" s="12" t="s">
        <v>140</v>
      </c>
      <c r="D44" s="11" t="s">
        <v>4</v>
      </c>
      <c r="E44" s="14">
        <v>336</v>
      </c>
      <c r="F44" s="86"/>
      <c r="G44" s="86"/>
      <c r="H44" s="86"/>
      <c r="I44" s="14"/>
      <c r="J44" s="14">
        <f t="shared" si="0"/>
        <v>0</v>
      </c>
      <c r="K44" s="104">
        <f t="shared" si="1"/>
        <v>0</v>
      </c>
      <c r="L44" s="15" t="s">
        <v>27</v>
      </c>
    </row>
    <row r="45" spans="1:12 16314:16331" s="16" customFormat="1" ht="36.5" customHeight="1">
      <c r="A45" s="103">
        <v>38</v>
      </c>
      <c r="B45" s="12" t="s">
        <v>39</v>
      </c>
      <c r="C45" s="13" t="s">
        <v>40</v>
      </c>
      <c r="D45" s="11" t="s">
        <v>4</v>
      </c>
      <c r="E45" s="14">
        <v>37.82</v>
      </c>
      <c r="F45" s="86"/>
      <c r="G45" s="86"/>
      <c r="H45" s="86"/>
      <c r="I45" s="14"/>
      <c r="J45" s="14">
        <f t="shared" si="0"/>
        <v>0</v>
      </c>
      <c r="K45" s="104">
        <f t="shared" si="1"/>
        <v>0</v>
      </c>
      <c r="L45" s="15" t="s">
        <v>31</v>
      </c>
    </row>
    <row r="46" spans="1:12 16314:16331" s="16" customFormat="1" ht="36.5" customHeight="1">
      <c r="A46" s="103">
        <v>39</v>
      </c>
      <c r="B46" s="12" t="s">
        <v>32</v>
      </c>
      <c r="C46" s="12" t="s">
        <v>38</v>
      </c>
      <c r="D46" s="11" t="s">
        <v>4</v>
      </c>
      <c r="E46" s="14">
        <v>41.6</v>
      </c>
      <c r="F46" s="86"/>
      <c r="G46" s="86"/>
      <c r="H46" s="86"/>
      <c r="I46" s="14"/>
      <c r="J46" s="14">
        <f t="shared" si="0"/>
        <v>0</v>
      </c>
      <c r="K46" s="104">
        <f t="shared" si="1"/>
        <v>0</v>
      </c>
      <c r="L46" s="15" t="s">
        <v>20</v>
      </c>
    </row>
    <row r="47" spans="1:12 16314:16331" s="16" customFormat="1" ht="36.5" customHeight="1">
      <c r="A47" s="103">
        <v>40</v>
      </c>
      <c r="B47" s="12" t="s">
        <v>32</v>
      </c>
      <c r="C47" s="12" t="s">
        <v>233</v>
      </c>
      <c r="D47" s="11" t="s">
        <v>4</v>
      </c>
      <c r="E47" s="14">
        <v>843.6</v>
      </c>
      <c r="F47" s="86"/>
      <c r="G47" s="86"/>
      <c r="H47" s="86"/>
      <c r="I47" s="14"/>
      <c r="J47" s="14">
        <f t="shared" si="0"/>
        <v>0</v>
      </c>
      <c r="K47" s="104">
        <f t="shared" si="1"/>
        <v>0</v>
      </c>
      <c r="L47" s="15" t="s">
        <v>20</v>
      </c>
    </row>
    <row r="48" spans="1:12 16314:16331" s="16" customFormat="1" ht="36.5" customHeight="1">
      <c r="A48" s="103">
        <v>41</v>
      </c>
      <c r="B48" s="12" t="s">
        <v>32</v>
      </c>
      <c r="C48" s="12" t="s">
        <v>234</v>
      </c>
      <c r="D48" s="11" t="s">
        <v>4</v>
      </c>
      <c r="E48" s="14">
        <v>614.16</v>
      </c>
      <c r="F48" s="86"/>
      <c r="G48" s="86"/>
      <c r="H48" s="86"/>
      <c r="I48" s="14"/>
      <c r="J48" s="14">
        <f t="shared" si="0"/>
        <v>0</v>
      </c>
      <c r="K48" s="104">
        <f t="shared" si="1"/>
        <v>0</v>
      </c>
      <c r="L48" s="15" t="s">
        <v>20</v>
      </c>
    </row>
    <row r="49" spans="1:12" s="16" customFormat="1" ht="36.5" customHeight="1">
      <c r="A49" s="103">
        <v>42</v>
      </c>
      <c r="B49" s="12" t="s">
        <v>32</v>
      </c>
      <c r="C49" s="12" t="s">
        <v>235</v>
      </c>
      <c r="D49" s="11" t="s">
        <v>4</v>
      </c>
      <c r="E49" s="14">
        <v>420.48</v>
      </c>
      <c r="F49" s="86"/>
      <c r="G49" s="86"/>
      <c r="H49" s="86"/>
      <c r="I49" s="14"/>
      <c r="J49" s="14">
        <f>SUM(F49:I49)</f>
        <v>0</v>
      </c>
      <c r="K49" s="104">
        <f>J49*E49</f>
        <v>0</v>
      </c>
      <c r="L49" s="12" t="s">
        <v>20</v>
      </c>
    </row>
    <row r="50" spans="1:12" s="16" customFormat="1" ht="36.5" customHeight="1">
      <c r="A50" s="11" t="s">
        <v>57</v>
      </c>
      <c r="B50" s="12" t="s">
        <v>23</v>
      </c>
      <c r="C50" s="13"/>
      <c r="D50" s="11" t="s">
        <v>24</v>
      </c>
      <c r="E50" s="17">
        <v>1</v>
      </c>
      <c r="F50" s="18"/>
      <c r="G50" s="9"/>
      <c r="H50" s="9"/>
      <c r="I50" s="14"/>
      <c r="J50" s="97"/>
      <c r="K50" s="76">
        <f>K4+K31+K40</f>
        <v>0</v>
      </c>
      <c r="L50" s="19"/>
    </row>
    <row r="51" spans="1:12" s="16" customFormat="1" ht="36.5" customHeight="1">
      <c r="A51" s="11" t="s">
        <v>58</v>
      </c>
      <c r="B51" s="20" t="s">
        <v>56</v>
      </c>
      <c r="C51" s="21"/>
      <c r="D51" s="11" t="s">
        <v>24</v>
      </c>
      <c r="E51" s="17">
        <v>1</v>
      </c>
      <c r="F51" s="18"/>
      <c r="G51" s="9"/>
      <c r="H51" s="9"/>
      <c r="I51" s="14"/>
      <c r="J51" s="98">
        <v>1.2E-2</v>
      </c>
      <c r="K51" s="77">
        <f>K50*J51</f>
        <v>0</v>
      </c>
      <c r="L51" s="19"/>
    </row>
    <row r="52" spans="1:12" s="16" customFormat="1" ht="36.5" customHeight="1">
      <c r="A52" s="11" t="s">
        <v>59</v>
      </c>
      <c r="B52" s="20" t="s">
        <v>51</v>
      </c>
      <c r="C52" s="21"/>
      <c r="D52" s="11" t="s">
        <v>24</v>
      </c>
      <c r="E52" s="17">
        <v>1</v>
      </c>
      <c r="F52" s="18"/>
      <c r="G52" s="9"/>
      <c r="H52" s="9"/>
      <c r="I52" s="14"/>
      <c r="J52" s="98">
        <v>0.02</v>
      </c>
      <c r="K52" s="77">
        <f>(K50+K51)*J52</f>
        <v>0</v>
      </c>
      <c r="L52" s="19"/>
    </row>
    <row r="53" spans="1:12" s="16" customFormat="1" ht="36.5" customHeight="1">
      <c r="A53" s="11" t="s">
        <v>60</v>
      </c>
      <c r="B53" s="20" t="s">
        <v>52</v>
      </c>
      <c r="C53" s="21"/>
      <c r="D53" s="11" t="s">
        <v>24</v>
      </c>
      <c r="E53" s="17">
        <v>1</v>
      </c>
      <c r="F53" s="18"/>
      <c r="G53" s="9"/>
      <c r="H53" s="9"/>
      <c r="I53" s="14"/>
      <c r="J53" s="98">
        <v>0.03</v>
      </c>
      <c r="K53" s="77">
        <f>(K50+K51+K52)*J53</f>
        <v>0</v>
      </c>
      <c r="L53" s="19"/>
    </row>
    <row r="54" spans="1:12" s="16" customFormat="1" ht="36.5" customHeight="1">
      <c r="A54" s="11" t="s">
        <v>61</v>
      </c>
      <c r="B54" s="20" t="s">
        <v>53</v>
      </c>
      <c r="C54" s="21"/>
      <c r="D54" s="11" t="s">
        <v>24</v>
      </c>
      <c r="E54" s="17">
        <v>1</v>
      </c>
      <c r="F54" s="18"/>
      <c r="G54" s="9"/>
      <c r="H54" s="9"/>
      <c r="I54" s="14"/>
      <c r="J54" s="99">
        <v>0.09</v>
      </c>
      <c r="K54" s="77">
        <f>(K50+K51+K52+K53)*J54</f>
        <v>0</v>
      </c>
      <c r="L54" s="19"/>
    </row>
    <row r="55" spans="1:12" s="16" customFormat="1" ht="32.5" customHeight="1">
      <c r="A55" s="11" t="s">
        <v>62</v>
      </c>
      <c r="B55" s="12" t="s">
        <v>54</v>
      </c>
      <c r="C55" s="13"/>
      <c r="D55" s="11" t="s">
        <v>24</v>
      </c>
      <c r="E55" s="17">
        <v>1</v>
      </c>
      <c r="F55" s="18"/>
      <c r="G55" s="9"/>
      <c r="H55" s="9"/>
      <c r="I55" s="14"/>
      <c r="J55" s="97"/>
      <c r="K55" s="78">
        <f>K4+K51+K52+K53+K54</f>
        <v>0</v>
      </c>
      <c r="L55" s="19"/>
    </row>
    <row r="56" spans="1:12" ht="27" customHeight="1">
      <c r="A56" s="107" t="s">
        <v>236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8"/>
      <c r="L56" s="107"/>
    </row>
  </sheetData>
  <mergeCells count="11">
    <mergeCell ref="A1:L1"/>
    <mergeCell ref="F2:J2"/>
    <mergeCell ref="A56:L56"/>
    <mergeCell ref="A2:A3"/>
    <mergeCell ref="B2:B3"/>
    <mergeCell ref="C2:C3"/>
    <mergeCell ref="D2:D3"/>
    <mergeCell ref="E2:E3"/>
    <mergeCell ref="K2:K3"/>
    <mergeCell ref="L2:L3"/>
    <mergeCell ref="L5:L19"/>
  </mergeCells>
  <phoneticPr fontId="5" type="noConversion"/>
  <pageMargins left="0.109722222222222" right="0.109722222222222" top="0.55486111111111103" bottom="0.35763888888888901" header="0.29861111111111099" footer="0.29861111111111099"/>
  <pageSetup paperSize="9" scale="9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C24"/>
  <sheetViews>
    <sheetView view="pageBreakPreview" zoomScale="90" zoomScaleNormal="100" zoomScaleSheetLayoutView="90" workbookViewId="0">
      <pane xSplit="4" ySplit="4" topLeftCell="E20" activePane="bottomRight" state="frozen"/>
      <selection pane="topRight"/>
      <selection pane="bottomLeft"/>
      <selection pane="bottomRight" activeCell="A24" sqref="A24:L24"/>
    </sheetView>
  </sheetViews>
  <sheetFormatPr defaultColWidth="9" defaultRowHeight="18" customHeight="1"/>
  <cols>
    <col min="1" max="1" width="5.25" style="23" customWidth="1"/>
    <col min="2" max="2" width="13" style="24" customWidth="1"/>
    <col min="3" max="3" width="39.5" style="23" customWidth="1"/>
    <col min="4" max="4" width="4.9140625" style="23" customWidth="1"/>
    <col min="5" max="5" width="9.83203125" style="25" customWidth="1"/>
    <col min="6" max="6" width="10.6640625" style="26" customWidth="1"/>
    <col min="7" max="7" width="9.9140625" style="23" customWidth="1"/>
    <col min="8" max="8" width="9.4140625" style="23" customWidth="1"/>
    <col min="9" max="10" width="10.6640625" style="23" customWidth="1"/>
    <col min="11" max="11" width="11.08203125" style="79" customWidth="1"/>
    <col min="12" max="12" width="28.5" style="23" customWidth="1"/>
    <col min="13" max="16384" width="9" style="8"/>
  </cols>
  <sheetData>
    <row r="1" spans="1:12 16314:16331" ht="18" customHeight="1">
      <c r="A1" s="110" t="s">
        <v>153</v>
      </c>
      <c r="B1" s="111"/>
      <c r="C1" s="110"/>
      <c r="D1" s="110"/>
      <c r="E1" s="110"/>
      <c r="F1" s="110"/>
      <c r="G1" s="110"/>
      <c r="H1" s="110"/>
      <c r="I1" s="110"/>
      <c r="J1" s="110"/>
      <c r="K1" s="112"/>
      <c r="L1" s="110"/>
    </row>
    <row r="2" spans="1:12 16314:16331" ht="28.5" customHeight="1">
      <c r="A2" s="113" t="s">
        <v>0</v>
      </c>
      <c r="B2" s="106" t="s">
        <v>6</v>
      </c>
      <c r="C2" s="106" t="s">
        <v>7</v>
      </c>
      <c r="D2" s="113" t="s">
        <v>8</v>
      </c>
      <c r="E2" s="109" t="s">
        <v>9</v>
      </c>
      <c r="F2" s="109" t="s">
        <v>10</v>
      </c>
      <c r="G2" s="109"/>
      <c r="H2" s="109"/>
      <c r="I2" s="109"/>
      <c r="J2" s="109"/>
      <c r="K2" s="114" t="s">
        <v>11</v>
      </c>
      <c r="L2" s="113" t="s">
        <v>3</v>
      </c>
    </row>
    <row r="3" spans="1:12 16314:16331" ht="45" customHeight="1">
      <c r="A3" s="113"/>
      <c r="B3" s="106"/>
      <c r="C3" s="106"/>
      <c r="D3" s="113"/>
      <c r="E3" s="109"/>
      <c r="F3" s="60" t="s">
        <v>46</v>
      </c>
      <c r="G3" s="10" t="s">
        <v>12</v>
      </c>
      <c r="H3" s="10" t="s">
        <v>13</v>
      </c>
      <c r="I3" s="10" t="s">
        <v>14</v>
      </c>
      <c r="J3" s="10" t="s">
        <v>199</v>
      </c>
      <c r="K3" s="114"/>
      <c r="L3" s="113"/>
    </row>
    <row r="4" spans="1:12 16314:16331" ht="27" customHeight="1">
      <c r="A4" s="59" t="s">
        <v>16</v>
      </c>
      <c r="B4" s="12" t="s">
        <v>17</v>
      </c>
      <c r="C4" s="13"/>
      <c r="D4" s="59"/>
      <c r="E4" s="14"/>
      <c r="F4" s="60"/>
      <c r="G4" s="60"/>
      <c r="H4" s="60"/>
      <c r="I4" s="60"/>
      <c r="J4" s="60"/>
      <c r="K4" s="104">
        <f>SUM(K5:K12)</f>
        <v>0</v>
      </c>
      <c r="L4" s="59"/>
    </row>
    <row r="5" spans="1:12 16314:16331" ht="95" customHeight="1">
      <c r="A5" s="59">
        <v>1</v>
      </c>
      <c r="B5" s="12" t="s">
        <v>160</v>
      </c>
      <c r="C5" s="12" t="s">
        <v>80</v>
      </c>
      <c r="D5" s="59" t="s">
        <v>18</v>
      </c>
      <c r="E5" s="14">
        <v>36.957000000000001</v>
      </c>
      <c r="F5" s="86"/>
      <c r="G5" s="86"/>
      <c r="H5" s="86"/>
      <c r="I5" s="86"/>
      <c r="J5" s="60">
        <f t="shared" ref="J5:J17" si="0">SUM(F5:I5)</f>
        <v>0</v>
      </c>
      <c r="K5" s="104">
        <f t="shared" ref="K5:K17" si="1">J5*E5</f>
        <v>0</v>
      </c>
      <c r="L5" s="106"/>
    </row>
    <row r="6" spans="1:12 16314:16331" ht="91" customHeight="1">
      <c r="A6" s="59">
        <v>2</v>
      </c>
      <c r="B6" s="12" t="s">
        <v>152</v>
      </c>
      <c r="C6" s="12" t="s">
        <v>95</v>
      </c>
      <c r="D6" s="59" t="s">
        <v>18</v>
      </c>
      <c r="E6" s="14">
        <v>1.325</v>
      </c>
      <c r="F6" s="86"/>
      <c r="G6" s="86"/>
      <c r="H6" s="86"/>
      <c r="I6" s="86"/>
      <c r="J6" s="60">
        <f t="shared" si="0"/>
        <v>0</v>
      </c>
      <c r="K6" s="104">
        <f t="shared" si="1"/>
        <v>0</v>
      </c>
      <c r="L6" s="106"/>
    </row>
    <row r="7" spans="1:12 16314:16331" ht="87" customHeight="1">
      <c r="A7" s="59">
        <v>3</v>
      </c>
      <c r="B7" s="12" t="s">
        <v>90</v>
      </c>
      <c r="C7" s="12" t="s">
        <v>92</v>
      </c>
      <c r="D7" s="59" t="s">
        <v>18</v>
      </c>
      <c r="E7" s="14">
        <v>4.9050000000000002</v>
      </c>
      <c r="F7" s="86"/>
      <c r="G7" s="86"/>
      <c r="H7" s="86"/>
      <c r="I7" s="86"/>
      <c r="J7" s="60">
        <f t="shared" si="0"/>
        <v>0</v>
      </c>
      <c r="K7" s="104">
        <f t="shared" si="1"/>
        <v>0</v>
      </c>
      <c r="L7" s="106"/>
    </row>
    <row r="8" spans="1:12 16314:16331" ht="86" customHeight="1">
      <c r="A8" s="59">
        <v>4</v>
      </c>
      <c r="B8" s="12" t="s">
        <v>98</v>
      </c>
      <c r="C8" s="12" t="s">
        <v>99</v>
      </c>
      <c r="D8" s="59" t="s">
        <v>18</v>
      </c>
      <c r="E8" s="14">
        <v>1.256</v>
      </c>
      <c r="F8" s="86"/>
      <c r="G8" s="86"/>
      <c r="H8" s="86"/>
      <c r="I8" s="86"/>
      <c r="J8" s="86">
        <f t="shared" si="0"/>
        <v>0</v>
      </c>
      <c r="K8" s="104">
        <f t="shared" si="1"/>
        <v>0</v>
      </c>
      <c r="L8" s="106"/>
    </row>
    <row r="9" spans="1:12 16314:16331" ht="80.5" customHeight="1">
      <c r="A9" s="59">
        <v>5</v>
      </c>
      <c r="B9" s="12" t="s">
        <v>141</v>
      </c>
      <c r="C9" s="12" t="s">
        <v>87</v>
      </c>
      <c r="D9" s="59" t="s">
        <v>18</v>
      </c>
      <c r="E9" s="14">
        <v>0.45700000000000002</v>
      </c>
      <c r="F9" s="86"/>
      <c r="G9" s="86"/>
      <c r="H9" s="86"/>
      <c r="I9" s="86"/>
      <c r="J9" s="60">
        <f t="shared" si="0"/>
        <v>0</v>
      </c>
      <c r="K9" s="104">
        <f t="shared" si="1"/>
        <v>0</v>
      </c>
      <c r="L9" s="106"/>
    </row>
    <row r="10" spans="1:12 16314:16331" ht="76.5" customHeight="1">
      <c r="A10" s="59">
        <v>6</v>
      </c>
      <c r="B10" s="12" t="s">
        <v>35</v>
      </c>
      <c r="C10" s="12" t="s">
        <v>89</v>
      </c>
      <c r="D10" s="59" t="s">
        <v>18</v>
      </c>
      <c r="E10" s="14">
        <v>12.537000000000001</v>
      </c>
      <c r="F10" s="86"/>
      <c r="G10" s="86"/>
      <c r="H10" s="86"/>
      <c r="I10" s="86"/>
      <c r="J10" s="60">
        <f t="shared" si="0"/>
        <v>0</v>
      </c>
      <c r="K10" s="104">
        <f t="shared" si="1"/>
        <v>0</v>
      </c>
      <c r="L10" s="58" t="s">
        <v>20</v>
      </c>
    </row>
    <row r="11" spans="1:12 16314:16331" ht="55" customHeight="1">
      <c r="A11" s="59">
        <v>7</v>
      </c>
      <c r="B11" s="12" t="s">
        <v>44</v>
      </c>
      <c r="C11" s="12" t="s">
        <v>202</v>
      </c>
      <c r="D11" s="59" t="s">
        <v>18</v>
      </c>
      <c r="E11" s="14">
        <f>E5+E7+E9</f>
        <v>42.319000000000003</v>
      </c>
      <c r="F11" s="86"/>
      <c r="G11" s="86"/>
      <c r="H11" s="86"/>
      <c r="I11" s="86"/>
      <c r="J11" s="60">
        <f t="shared" si="0"/>
        <v>0</v>
      </c>
      <c r="K11" s="104">
        <f t="shared" si="1"/>
        <v>0</v>
      </c>
      <c r="L11" s="58" t="s">
        <v>21</v>
      </c>
    </row>
    <row r="12" spans="1:12 16314:16331" ht="52.5" customHeight="1">
      <c r="A12" s="59">
        <v>8</v>
      </c>
      <c r="B12" s="12" t="s">
        <v>142</v>
      </c>
      <c r="C12" s="12" t="s">
        <v>204</v>
      </c>
      <c r="D12" s="59" t="s">
        <v>18</v>
      </c>
      <c r="E12" s="14">
        <f>E8</f>
        <v>1.256</v>
      </c>
      <c r="F12" s="86"/>
      <c r="G12" s="86"/>
      <c r="H12" s="86"/>
      <c r="I12" s="86"/>
      <c r="J12" s="60">
        <f t="shared" ref="J12" si="2">SUM(F12:I12)</f>
        <v>0</v>
      </c>
      <c r="K12" s="104">
        <f t="shared" si="1"/>
        <v>0</v>
      </c>
      <c r="L12" s="58" t="s">
        <v>21</v>
      </c>
    </row>
    <row r="13" spans="1:12 16314:16331" s="16" customFormat="1" ht="27" customHeight="1">
      <c r="A13" s="59" t="s">
        <v>25</v>
      </c>
      <c r="B13" s="12" t="s">
        <v>55</v>
      </c>
      <c r="C13" s="13"/>
      <c r="D13" s="59"/>
      <c r="E13" s="14"/>
      <c r="F13" s="60"/>
      <c r="G13" s="60"/>
      <c r="H13" s="60"/>
      <c r="I13" s="60"/>
      <c r="J13" s="60">
        <f t="shared" si="0"/>
        <v>0</v>
      </c>
      <c r="K13" s="104">
        <f>SUM(K14:K17)</f>
        <v>0</v>
      </c>
      <c r="L13" s="59"/>
    </row>
    <row r="14" spans="1:12 16314:16331" ht="40.5" customHeight="1">
      <c r="A14" s="63">
        <v>9</v>
      </c>
      <c r="B14" s="12" t="s">
        <v>221</v>
      </c>
      <c r="C14" s="12" t="s">
        <v>220</v>
      </c>
      <c r="D14" s="59" t="s">
        <v>4</v>
      </c>
      <c r="E14" s="14">
        <v>101.37</v>
      </c>
      <c r="F14" s="86"/>
      <c r="G14" s="86"/>
      <c r="H14" s="86"/>
      <c r="I14" s="86"/>
      <c r="J14" s="60">
        <f t="shared" si="0"/>
        <v>0</v>
      </c>
      <c r="K14" s="104">
        <f t="shared" si="1"/>
        <v>0</v>
      </c>
      <c r="L14" s="58" t="s">
        <v>20</v>
      </c>
    </row>
    <row r="15" spans="1:12 16314:16331" ht="35" customHeight="1">
      <c r="A15" s="63">
        <v>10</v>
      </c>
      <c r="B15" s="12" t="s">
        <v>48</v>
      </c>
      <c r="C15" s="12" t="s">
        <v>179</v>
      </c>
      <c r="D15" s="59" t="s">
        <v>22</v>
      </c>
      <c r="E15" s="14">
        <v>207.5</v>
      </c>
      <c r="F15" s="86"/>
      <c r="G15" s="86"/>
      <c r="H15" s="86"/>
      <c r="I15" s="86"/>
      <c r="J15" s="60">
        <f>SUM(F15:I15)</f>
        <v>0</v>
      </c>
      <c r="K15" s="104">
        <f t="shared" si="1"/>
        <v>0</v>
      </c>
      <c r="L15" s="58" t="s">
        <v>27</v>
      </c>
      <c r="XCL15" s="29"/>
      <c r="XCM15" s="29"/>
      <c r="XCN15" s="29"/>
      <c r="XCO15" s="29"/>
      <c r="XCP15" s="29"/>
      <c r="XCQ15" s="29"/>
      <c r="XCR15" s="29"/>
      <c r="XCS15" s="29"/>
      <c r="XCT15" s="29"/>
      <c r="XCU15" s="29"/>
      <c r="XCV15" s="29"/>
      <c r="XCW15" s="29"/>
      <c r="XCX15" s="29"/>
      <c r="XCY15" s="29"/>
      <c r="XCZ15" s="29"/>
      <c r="XDA15" s="29"/>
      <c r="XDB15" s="29"/>
      <c r="XDC15" s="29"/>
    </row>
    <row r="16" spans="1:12 16314:16331" ht="35" customHeight="1">
      <c r="A16" s="74">
        <v>11</v>
      </c>
      <c r="B16" s="12" t="s">
        <v>49</v>
      </c>
      <c r="C16" s="12" t="s">
        <v>219</v>
      </c>
      <c r="D16" s="59" t="s">
        <v>28</v>
      </c>
      <c r="E16" s="14">
        <v>10</v>
      </c>
      <c r="F16" s="60"/>
      <c r="G16" s="60"/>
      <c r="H16" s="60"/>
      <c r="I16" s="60"/>
      <c r="J16" s="60">
        <f>SUM(F16:I16)</f>
        <v>0</v>
      </c>
      <c r="K16" s="104">
        <f t="shared" si="1"/>
        <v>0</v>
      </c>
      <c r="L16" s="58" t="s">
        <v>27</v>
      </c>
      <c r="XCL16" s="29"/>
      <c r="XCM16" s="29"/>
      <c r="XCN16" s="29"/>
      <c r="XCO16" s="29"/>
      <c r="XCP16" s="29"/>
      <c r="XCQ16" s="29"/>
      <c r="XCR16" s="29"/>
      <c r="XCS16" s="29"/>
      <c r="XCT16" s="29"/>
      <c r="XCU16" s="29"/>
      <c r="XCV16" s="29"/>
      <c r="XCW16" s="29"/>
      <c r="XCX16" s="29"/>
      <c r="XCY16" s="29"/>
      <c r="XCZ16" s="29"/>
      <c r="XDA16" s="29"/>
      <c r="XDB16" s="29"/>
      <c r="XDC16" s="29"/>
    </row>
    <row r="17" spans="1:12" ht="43.5" customHeight="1">
      <c r="A17" s="74">
        <v>12</v>
      </c>
      <c r="B17" s="12" t="s">
        <v>29</v>
      </c>
      <c r="C17" s="12" t="s">
        <v>205</v>
      </c>
      <c r="D17" s="59" t="s">
        <v>47</v>
      </c>
      <c r="E17" s="14">
        <v>133.19999999999999</v>
      </c>
      <c r="F17" s="86"/>
      <c r="G17" s="86"/>
      <c r="H17" s="86"/>
      <c r="I17" s="86"/>
      <c r="J17" s="60">
        <f t="shared" si="0"/>
        <v>0</v>
      </c>
      <c r="K17" s="104">
        <f t="shared" si="1"/>
        <v>0</v>
      </c>
      <c r="L17" s="58" t="s">
        <v>27</v>
      </c>
    </row>
    <row r="18" spans="1:12" s="16" customFormat="1" ht="36.5" customHeight="1">
      <c r="A18" s="59" t="s">
        <v>161</v>
      </c>
      <c r="B18" s="12" t="s">
        <v>23</v>
      </c>
      <c r="C18" s="13"/>
      <c r="D18" s="59" t="s">
        <v>24</v>
      </c>
      <c r="E18" s="17"/>
      <c r="F18" s="18"/>
      <c r="G18" s="60"/>
      <c r="H18" s="60"/>
      <c r="I18" s="60"/>
      <c r="J18" s="19"/>
      <c r="K18" s="76">
        <f>K4+K13</f>
        <v>0</v>
      </c>
      <c r="L18" s="19"/>
    </row>
    <row r="19" spans="1:12" s="16" customFormat="1" ht="36.5" customHeight="1">
      <c r="A19" s="59" t="s">
        <v>158</v>
      </c>
      <c r="B19" s="20" t="s">
        <v>56</v>
      </c>
      <c r="C19" s="21"/>
      <c r="D19" s="59" t="s">
        <v>24</v>
      </c>
      <c r="E19" s="17"/>
      <c r="F19" s="18"/>
      <c r="G19" s="60"/>
      <c r="H19" s="60"/>
      <c r="I19" s="60"/>
      <c r="J19" s="87">
        <v>1.2E-2</v>
      </c>
      <c r="K19" s="77">
        <f>K18*J19</f>
        <v>0</v>
      </c>
      <c r="L19" s="19"/>
    </row>
    <row r="20" spans="1:12" s="16" customFormat="1" ht="36.5" customHeight="1">
      <c r="A20" s="59" t="s">
        <v>162</v>
      </c>
      <c r="B20" s="20" t="s">
        <v>51</v>
      </c>
      <c r="C20" s="21"/>
      <c r="D20" s="59" t="s">
        <v>24</v>
      </c>
      <c r="E20" s="17"/>
      <c r="F20" s="18"/>
      <c r="G20" s="60"/>
      <c r="H20" s="60"/>
      <c r="I20" s="60"/>
      <c r="J20" s="87">
        <v>0.02</v>
      </c>
      <c r="K20" s="77">
        <f>(K18+K19)*J20</f>
        <v>0</v>
      </c>
      <c r="L20" s="19"/>
    </row>
    <row r="21" spans="1:12" s="16" customFormat="1" ht="36.5" customHeight="1">
      <c r="A21" s="59" t="s">
        <v>163</v>
      </c>
      <c r="B21" s="20" t="s">
        <v>52</v>
      </c>
      <c r="C21" s="21"/>
      <c r="D21" s="59" t="s">
        <v>24</v>
      </c>
      <c r="E21" s="17"/>
      <c r="F21" s="18"/>
      <c r="G21" s="60"/>
      <c r="H21" s="60"/>
      <c r="I21" s="60"/>
      <c r="J21" s="87">
        <v>0.03</v>
      </c>
      <c r="K21" s="77">
        <f>(K18+K19+K20)*J21</f>
        <v>0</v>
      </c>
      <c r="L21" s="19"/>
    </row>
    <row r="22" spans="1:12" s="16" customFormat="1" ht="36.5" customHeight="1">
      <c r="A22" s="59" t="s">
        <v>159</v>
      </c>
      <c r="B22" s="20" t="s">
        <v>53</v>
      </c>
      <c r="C22" s="21"/>
      <c r="D22" s="59" t="s">
        <v>24</v>
      </c>
      <c r="E22" s="17"/>
      <c r="F22" s="18"/>
      <c r="G22" s="60"/>
      <c r="H22" s="60"/>
      <c r="I22" s="60"/>
      <c r="J22" s="22">
        <v>0.09</v>
      </c>
      <c r="K22" s="77">
        <f>(K18+K19+K20+K21)*J22</f>
        <v>0</v>
      </c>
      <c r="L22" s="19"/>
    </row>
    <row r="23" spans="1:12" s="16" customFormat="1" ht="32.5" customHeight="1">
      <c r="A23" s="59" t="s">
        <v>61</v>
      </c>
      <c r="B23" s="12" t="s">
        <v>54</v>
      </c>
      <c r="C23" s="13"/>
      <c r="D23" s="59" t="s">
        <v>24</v>
      </c>
      <c r="E23" s="17"/>
      <c r="F23" s="18"/>
      <c r="G23" s="60"/>
      <c r="H23" s="60"/>
      <c r="I23" s="60"/>
      <c r="J23" s="19"/>
      <c r="K23" s="78">
        <f>K4+K19+K20+K21+K22</f>
        <v>0</v>
      </c>
      <c r="L23" s="19"/>
    </row>
    <row r="24" spans="1:12" ht="39" customHeight="1">
      <c r="A24" s="107" t="s">
        <v>237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8"/>
      <c r="L24" s="107"/>
    </row>
  </sheetData>
  <mergeCells count="11">
    <mergeCell ref="L5:L9"/>
    <mergeCell ref="A24:L24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honeticPr fontId="5" type="noConversion"/>
  <pageMargins left="0.109722222222222" right="0.109722222222222" top="0.55486111111111103" bottom="0.35763888888888901" header="0.29861111111111099" footer="0.29861111111111099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="90" zoomScaleNormal="100" zoomScaleSheetLayoutView="90" workbookViewId="0">
      <pane xSplit="4" ySplit="4" topLeftCell="E31" activePane="bottomRight" state="frozen"/>
      <selection pane="topRight"/>
      <selection pane="bottomLeft"/>
      <selection pane="bottomRight" activeCell="D38" sqref="D38"/>
    </sheetView>
  </sheetViews>
  <sheetFormatPr defaultColWidth="9" defaultRowHeight="18" customHeight="1"/>
  <cols>
    <col min="1" max="1" width="5.25" style="23" customWidth="1"/>
    <col min="2" max="2" width="11.25" style="24" customWidth="1"/>
    <col min="3" max="3" width="39.75" style="23" customWidth="1"/>
    <col min="4" max="4" width="4.9140625" style="23" customWidth="1"/>
    <col min="5" max="5" width="9.83203125" style="25" customWidth="1"/>
    <col min="6" max="6" width="10.6640625" style="26" customWidth="1"/>
    <col min="7" max="7" width="9.9140625" style="23" customWidth="1"/>
    <col min="8" max="8" width="9.1640625" style="23" customWidth="1"/>
    <col min="9" max="10" width="10.6640625" style="23" customWidth="1"/>
    <col min="11" max="11" width="12.4140625" style="79" customWidth="1"/>
    <col min="12" max="12" width="31.4140625" style="23" customWidth="1"/>
    <col min="13" max="16384" width="9" style="8"/>
  </cols>
  <sheetData>
    <row r="1" spans="1:12" ht="18" customHeight="1">
      <c r="A1" s="110" t="s">
        <v>154</v>
      </c>
      <c r="B1" s="111"/>
      <c r="C1" s="110"/>
      <c r="D1" s="110"/>
      <c r="E1" s="110"/>
      <c r="F1" s="110"/>
      <c r="G1" s="110"/>
      <c r="H1" s="110"/>
      <c r="I1" s="110"/>
      <c r="J1" s="110"/>
      <c r="K1" s="112"/>
      <c r="L1" s="110"/>
    </row>
    <row r="2" spans="1:12" ht="28.5" customHeight="1">
      <c r="A2" s="113" t="s">
        <v>0</v>
      </c>
      <c r="B2" s="106" t="s">
        <v>6</v>
      </c>
      <c r="C2" s="106" t="s">
        <v>7</v>
      </c>
      <c r="D2" s="113" t="s">
        <v>8</v>
      </c>
      <c r="E2" s="109" t="s">
        <v>9</v>
      </c>
      <c r="F2" s="109" t="s">
        <v>10</v>
      </c>
      <c r="G2" s="109"/>
      <c r="H2" s="109"/>
      <c r="I2" s="109"/>
      <c r="J2" s="109"/>
      <c r="K2" s="114" t="s">
        <v>11</v>
      </c>
      <c r="L2" s="113" t="s">
        <v>3</v>
      </c>
    </row>
    <row r="3" spans="1:12" ht="45" customHeight="1">
      <c r="A3" s="113"/>
      <c r="B3" s="106"/>
      <c r="C3" s="106"/>
      <c r="D3" s="113"/>
      <c r="E3" s="109"/>
      <c r="F3" s="60" t="s">
        <v>46</v>
      </c>
      <c r="G3" s="10" t="s">
        <v>12</v>
      </c>
      <c r="H3" s="10" t="s">
        <v>13</v>
      </c>
      <c r="I3" s="10" t="s">
        <v>14</v>
      </c>
      <c r="J3" s="10" t="s">
        <v>15</v>
      </c>
      <c r="K3" s="114"/>
      <c r="L3" s="113"/>
    </row>
    <row r="4" spans="1:12" ht="27" customHeight="1">
      <c r="A4" s="59" t="s">
        <v>16</v>
      </c>
      <c r="B4" s="12" t="s">
        <v>17</v>
      </c>
      <c r="C4" s="13"/>
      <c r="D4" s="59"/>
      <c r="E4" s="14"/>
      <c r="F4" s="60"/>
      <c r="G4" s="60"/>
      <c r="H4" s="60"/>
      <c r="I4" s="60"/>
      <c r="J4" s="60"/>
      <c r="K4" s="104">
        <f>SUM(K5:K17)</f>
        <v>0</v>
      </c>
      <c r="L4" s="59"/>
    </row>
    <row r="5" spans="1:12" ht="98" customHeight="1">
      <c r="A5" s="59">
        <v>1</v>
      </c>
      <c r="B5" s="27" t="s">
        <v>42</v>
      </c>
      <c r="C5" s="27" t="s">
        <v>216</v>
      </c>
      <c r="D5" s="59" t="s">
        <v>18</v>
      </c>
      <c r="E5" s="14">
        <v>7.8390000000000004</v>
      </c>
      <c r="F5" s="89"/>
      <c r="G5" s="86"/>
      <c r="H5" s="86"/>
      <c r="I5" s="86"/>
      <c r="J5" s="60">
        <f>SUM(F5:I5)</f>
        <v>0</v>
      </c>
      <c r="K5" s="104">
        <f>J5*E5</f>
        <v>0</v>
      </c>
      <c r="L5" s="106" t="s">
        <v>19</v>
      </c>
    </row>
    <row r="6" spans="1:12" ht="95" customHeight="1">
      <c r="A6" s="59">
        <v>2</v>
      </c>
      <c r="B6" s="12" t="s">
        <v>155</v>
      </c>
      <c r="C6" s="12" t="s">
        <v>217</v>
      </c>
      <c r="D6" s="59" t="s">
        <v>18</v>
      </c>
      <c r="E6" s="14">
        <v>11.07</v>
      </c>
      <c r="F6" s="89"/>
      <c r="G6" s="86"/>
      <c r="H6" s="86"/>
      <c r="I6" s="86"/>
      <c r="J6" s="60">
        <f t="shared" ref="J6:J25" si="0">SUM(F6:I6)</f>
        <v>0</v>
      </c>
      <c r="K6" s="104">
        <f t="shared" ref="K6:K25" si="1">J6*E6</f>
        <v>0</v>
      </c>
      <c r="L6" s="106"/>
    </row>
    <row r="7" spans="1:12" ht="95" customHeight="1">
      <c r="A7" s="59">
        <v>3</v>
      </c>
      <c r="B7" s="12" t="s">
        <v>68</v>
      </c>
      <c r="C7" s="12" t="s">
        <v>218</v>
      </c>
      <c r="D7" s="59" t="s">
        <v>18</v>
      </c>
      <c r="E7" s="14">
        <v>0.26100000000000001</v>
      </c>
      <c r="F7" s="89"/>
      <c r="G7" s="86"/>
      <c r="H7" s="86"/>
      <c r="I7" s="86"/>
      <c r="J7" s="60">
        <f t="shared" si="0"/>
        <v>0</v>
      </c>
      <c r="K7" s="104">
        <f t="shared" si="1"/>
        <v>0</v>
      </c>
      <c r="L7" s="106"/>
    </row>
    <row r="8" spans="1:12" ht="87" customHeight="1">
      <c r="A8" s="59">
        <v>4</v>
      </c>
      <c r="B8" s="12" t="s">
        <v>90</v>
      </c>
      <c r="C8" s="12" t="s">
        <v>92</v>
      </c>
      <c r="D8" s="59" t="s">
        <v>18</v>
      </c>
      <c r="E8" s="14">
        <v>0.19400000000000001</v>
      </c>
      <c r="F8" s="86"/>
      <c r="G8" s="86"/>
      <c r="H8" s="86"/>
      <c r="I8" s="86"/>
      <c r="J8" s="60">
        <f t="shared" si="0"/>
        <v>0</v>
      </c>
      <c r="K8" s="104">
        <f t="shared" si="1"/>
        <v>0</v>
      </c>
      <c r="L8" s="106"/>
    </row>
    <row r="9" spans="1:12" ht="97" customHeight="1">
      <c r="A9" s="59">
        <v>5</v>
      </c>
      <c r="B9" s="12" t="s">
        <v>91</v>
      </c>
      <c r="C9" s="12" t="s">
        <v>94</v>
      </c>
      <c r="D9" s="59" t="s">
        <v>18</v>
      </c>
      <c r="E9" s="14">
        <f>0.844+0.106</f>
        <v>0.95</v>
      </c>
      <c r="F9" s="86"/>
      <c r="G9" s="86"/>
      <c r="H9" s="86"/>
      <c r="I9" s="86"/>
      <c r="J9" s="60">
        <f t="shared" si="0"/>
        <v>0</v>
      </c>
      <c r="K9" s="104">
        <f t="shared" si="1"/>
        <v>0</v>
      </c>
      <c r="L9" s="106"/>
    </row>
    <row r="10" spans="1:12" ht="83" customHeight="1">
      <c r="A10" s="59">
        <v>6</v>
      </c>
      <c r="B10" s="12" t="s">
        <v>34</v>
      </c>
      <c r="C10" s="12" t="s">
        <v>88</v>
      </c>
      <c r="D10" s="59" t="s">
        <v>18</v>
      </c>
      <c r="E10" s="14">
        <v>0.33300000000000002</v>
      </c>
      <c r="F10" s="86"/>
      <c r="G10" s="86"/>
      <c r="H10" s="86"/>
      <c r="I10" s="86"/>
      <c r="J10" s="60">
        <f t="shared" si="0"/>
        <v>0</v>
      </c>
      <c r="K10" s="104">
        <f t="shared" si="1"/>
        <v>0</v>
      </c>
      <c r="L10" s="106"/>
    </row>
    <row r="11" spans="1:12" ht="86" customHeight="1">
      <c r="A11" s="59">
        <v>7</v>
      </c>
      <c r="B11" s="12" t="s">
        <v>98</v>
      </c>
      <c r="C11" s="12" t="s">
        <v>99</v>
      </c>
      <c r="D11" s="59" t="s">
        <v>18</v>
      </c>
      <c r="E11" s="14">
        <v>3.2000000000000001E-2</v>
      </c>
      <c r="F11" s="86"/>
      <c r="G11" s="86"/>
      <c r="H11" s="86"/>
      <c r="I11" s="86"/>
      <c r="J11" s="60"/>
      <c r="K11" s="104">
        <f t="shared" si="1"/>
        <v>0</v>
      </c>
      <c r="L11" s="106"/>
    </row>
    <row r="12" spans="1:12" ht="80.5" customHeight="1">
      <c r="A12" s="59">
        <v>8</v>
      </c>
      <c r="B12" s="12" t="s">
        <v>141</v>
      </c>
      <c r="C12" s="12" t="s">
        <v>87</v>
      </c>
      <c r="D12" s="59" t="s">
        <v>18</v>
      </c>
      <c r="E12" s="14">
        <v>0.60099999999999998</v>
      </c>
      <c r="F12" s="86"/>
      <c r="G12" s="86"/>
      <c r="H12" s="86"/>
      <c r="I12" s="86"/>
      <c r="J12" s="60">
        <f t="shared" si="0"/>
        <v>0</v>
      </c>
      <c r="K12" s="104">
        <f t="shared" si="1"/>
        <v>0</v>
      </c>
      <c r="L12" s="106"/>
    </row>
    <row r="13" spans="1:12" ht="72" customHeight="1">
      <c r="A13" s="59">
        <v>9</v>
      </c>
      <c r="B13" s="12" t="s">
        <v>36</v>
      </c>
      <c r="C13" s="12" t="s">
        <v>89</v>
      </c>
      <c r="D13" s="59" t="s">
        <v>18</v>
      </c>
      <c r="E13" s="14">
        <v>1.895</v>
      </c>
      <c r="F13" s="86"/>
      <c r="G13" s="86"/>
      <c r="H13" s="86"/>
      <c r="I13" s="86"/>
      <c r="J13" s="60">
        <f t="shared" si="0"/>
        <v>0</v>
      </c>
      <c r="K13" s="104">
        <f t="shared" si="1"/>
        <v>0</v>
      </c>
      <c r="L13" s="58" t="s">
        <v>20</v>
      </c>
    </row>
    <row r="14" spans="1:12" ht="76.5" customHeight="1">
      <c r="A14" s="59">
        <v>10</v>
      </c>
      <c r="B14" s="12" t="s">
        <v>35</v>
      </c>
      <c r="C14" s="12" t="s">
        <v>89</v>
      </c>
      <c r="D14" s="59" t="s">
        <v>18</v>
      </c>
      <c r="E14" s="14">
        <v>1.9570000000000001</v>
      </c>
      <c r="F14" s="86"/>
      <c r="G14" s="86"/>
      <c r="H14" s="86"/>
      <c r="I14" s="86"/>
      <c r="J14" s="60">
        <f t="shared" si="0"/>
        <v>0</v>
      </c>
      <c r="K14" s="104">
        <f t="shared" si="1"/>
        <v>0</v>
      </c>
      <c r="L14" s="58" t="s">
        <v>20</v>
      </c>
    </row>
    <row r="15" spans="1:12" ht="49.5" customHeight="1">
      <c r="A15" s="59">
        <v>11</v>
      </c>
      <c r="B15" s="12" t="s">
        <v>43</v>
      </c>
      <c r="C15" s="12" t="s">
        <v>201</v>
      </c>
      <c r="D15" s="59" t="s">
        <v>18</v>
      </c>
      <c r="E15" s="14">
        <f>E5+E10</f>
        <v>8.1720000000000006</v>
      </c>
      <c r="F15" s="86"/>
      <c r="G15" s="86"/>
      <c r="H15" s="86"/>
      <c r="I15" s="86"/>
      <c r="J15" s="60">
        <f t="shared" si="0"/>
        <v>0</v>
      </c>
      <c r="K15" s="104">
        <f t="shared" si="1"/>
        <v>0</v>
      </c>
      <c r="L15" s="58" t="s">
        <v>21</v>
      </c>
    </row>
    <row r="16" spans="1:12" ht="48.5" customHeight="1">
      <c r="A16" s="59">
        <v>12</v>
      </c>
      <c r="B16" s="12" t="s">
        <v>44</v>
      </c>
      <c r="C16" s="12" t="s">
        <v>202</v>
      </c>
      <c r="D16" s="59" t="s">
        <v>18</v>
      </c>
      <c r="E16" s="14">
        <f>E6+E7+E8+E12</f>
        <v>12.126000000000001</v>
      </c>
      <c r="F16" s="86"/>
      <c r="G16" s="86"/>
      <c r="H16" s="86"/>
      <c r="I16" s="86"/>
      <c r="J16" s="60">
        <f t="shared" si="0"/>
        <v>0</v>
      </c>
      <c r="K16" s="104">
        <f t="shared" si="1"/>
        <v>0</v>
      </c>
      <c r="L16" s="58" t="s">
        <v>21</v>
      </c>
    </row>
    <row r="17" spans="1:12" ht="48.5" customHeight="1">
      <c r="A17" s="102">
        <v>13</v>
      </c>
      <c r="B17" s="12" t="s">
        <v>142</v>
      </c>
      <c r="C17" s="12" t="s">
        <v>204</v>
      </c>
      <c r="D17" s="90" t="s">
        <v>18</v>
      </c>
      <c r="E17" s="14">
        <f>E11</f>
        <v>3.2000000000000001E-2</v>
      </c>
      <c r="F17" s="89"/>
      <c r="G17" s="89"/>
      <c r="H17" s="89"/>
      <c r="I17" s="89"/>
      <c r="J17" s="89">
        <f t="shared" ref="J17" si="2">SUM(F17:I17)</f>
        <v>0</v>
      </c>
      <c r="K17" s="104">
        <f t="shared" ref="K17" si="3">J17*E17</f>
        <v>0</v>
      </c>
      <c r="L17" s="88" t="s">
        <v>21</v>
      </c>
    </row>
    <row r="18" spans="1:12" s="16" customFormat="1" ht="27" customHeight="1">
      <c r="A18" s="59" t="s">
        <v>25</v>
      </c>
      <c r="B18" s="12" t="s">
        <v>55</v>
      </c>
      <c r="C18" s="13"/>
      <c r="D18" s="59"/>
      <c r="E18" s="14"/>
      <c r="F18" s="60"/>
      <c r="G18" s="60"/>
      <c r="H18" s="60"/>
      <c r="I18" s="60"/>
      <c r="J18" s="60">
        <f t="shared" si="0"/>
        <v>0</v>
      </c>
      <c r="K18" s="104">
        <f>SUM(K19:K23)</f>
        <v>0</v>
      </c>
      <c r="L18" s="59"/>
    </row>
    <row r="19" spans="1:12" s="16" customFormat="1" ht="53" customHeight="1">
      <c r="A19" s="59">
        <v>14</v>
      </c>
      <c r="B19" s="12" t="s">
        <v>45</v>
      </c>
      <c r="C19" s="12" t="s">
        <v>171</v>
      </c>
      <c r="D19" s="59" t="s">
        <v>4</v>
      </c>
      <c r="E19" s="14">
        <v>577.66999999999996</v>
      </c>
      <c r="F19" s="86"/>
      <c r="G19" s="86"/>
      <c r="H19" s="86"/>
      <c r="I19" s="86"/>
      <c r="J19" s="60">
        <f t="shared" si="0"/>
        <v>0</v>
      </c>
      <c r="K19" s="104">
        <f t="shared" si="1"/>
        <v>0</v>
      </c>
      <c r="L19" s="58" t="s">
        <v>20</v>
      </c>
    </row>
    <row r="20" spans="1:12" s="16" customFormat="1" ht="43.5" customHeight="1">
      <c r="A20" s="74">
        <v>15</v>
      </c>
      <c r="B20" s="12" t="s">
        <v>26</v>
      </c>
      <c r="C20" s="12" t="s">
        <v>191</v>
      </c>
      <c r="D20" s="59" t="s">
        <v>4</v>
      </c>
      <c r="E20" s="14">
        <f>9.96*2</f>
        <v>19.920000000000002</v>
      </c>
      <c r="F20" s="86"/>
      <c r="G20" s="86"/>
      <c r="H20" s="86"/>
      <c r="I20" s="86"/>
      <c r="J20" s="60">
        <f t="shared" si="0"/>
        <v>0</v>
      </c>
      <c r="K20" s="104">
        <f t="shared" si="1"/>
        <v>0</v>
      </c>
      <c r="L20" s="58" t="s">
        <v>20</v>
      </c>
    </row>
    <row r="21" spans="1:12" s="16" customFormat="1" ht="71" customHeight="1">
      <c r="A21" s="102">
        <v>16</v>
      </c>
      <c r="B21" s="12" t="s">
        <v>37</v>
      </c>
      <c r="C21" s="12" t="s">
        <v>172</v>
      </c>
      <c r="D21" s="59" t="s">
        <v>4</v>
      </c>
      <c r="E21" s="14">
        <v>392.6</v>
      </c>
      <c r="F21" s="86"/>
      <c r="G21" s="86"/>
      <c r="H21" s="86"/>
      <c r="I21" s="86"/>
      <c r="J21" s="60">
        <f t="shared" si="0"/>
        <v>0</v>
      </c>
      <c r="K21" s="104">
        <f t="shared" si="1"/>
        <v>0</v>
      </c>
      <c r="L21" s="58" t="s">
        <v>27</v>
      </c>
    </row>
    <row r="22" spans="1:12" ht="36" customHeight="1">
      <c r="A22" s="102">
        <v>17</v>
      </c>
      <c r="B22" s="12" t="s">
        <v>221</v>
      </c>
      <c r="C22" s="12" t="s">
        <v>220</v>
      </c>
      <c r="D22" s="90" t="s">
        <v>4</v>
      </c>
      <c r="E22" s="14">
        <v>71.19</v>
      </c>
      <c r="F22" s="89"/>
      <c r="G22" s="89"/>
      <c r="H22" s="89"/>
      <c r="I22" s="89"/>
      <c r="J22" s="89">
        <f t="shared" ref="J22" si="4">SUM(F22:I22)</f>
        <v>0</v>
      </c>
      <c r="K22" s="104">
        <f t="shared" ref="K22" si="5">J22*E22</f>
        <v>0</v>
      </c>
      <c r="L22" s="88" t="s">
        <v>20</v>
      </c>
    </row>
    <row r="23" spans="1:12" ht="36" customHeight="1">
      <c r="A23" s="102">
        <v>18</v>
      </c>
      <c r="B23" s="12" t="s">
        <v>222</v>
      </c>
      <c r="C23" s="12" t="s">
        <v>223</v>
      </c>
      <c r="D23" s="59" t="s">
        <v>4</v>
      </c>
      <c r="E23" s="14">
        <f>209.48-E22</f>
        <v>138.29</v>
      </c>
      <c r="F23" s="86"/>
      <c r="G23" s="86"/>
      <c r="H23" s="86"/>
      <c r="I23" s="86"/>
      <c r="J23" s="60">
        <f t="shared" si="0"/>
        <v>0</v>
      </c>
      <c r="K23" s="104">
        <f t="shared" si="1"/>
        <v>0</v>
      </c>
      <c r="L23" s="58" t="s">
        <v>20</v>
      </c>
    </row>
    <row r="24" spans="1:12" s="16" customFormat="1" ht="36.5" customHeight="1">
      <c r="A24" s="59" t="s">
        <v>30</v>
      </c>
      <c r="B24" s="12" t="s">
        <v>50</v>
      </c>
      <c r="C24" s="13"/>
      <c r="D24" s="59"/>
      <c r="E24" s="14"/>
      <c r="F24" s="60"/>
      <c r="G24" s="60"/>
      <c r="H24" s="60"/>
      <c r="I24" s="60"/>
      <c r="J24" s="60">
        <f t="shared" si="0"/>
        <v>0</v>
      </c>
      <c r="K24" s="104">
        <f>SUM(K25:K25)</f>
        <v>0</v>
      </c>
      <c r="L24" s="58"/>
    </row>
    <row r="25" spans="1:12" s="16" customFormat="1" ht="36.5" customHeight="1">
      <c r="A25" s="59">
        <v>19</v>
      </c>
      <c r="B25" s="12" t="s">
        <v>150</v>
      </c>
      <c r="C25" s="12" t="s">
        <v>151</v>
      </c>
      <c r="D25" s="59" t="s">
        <v>4</v>
      </c>
      <c r="E25" s="14">
        <v>21</v>
      </c>
      <c r="F25" s="60"/>
      <c r="G25" s="60"/>
      <c r="H25" s="60"/>
      <c r="I25" s="60"/>
      <c r="J25" s="60">
        <f t="shared" si="0"/>
        <v>0</v>
      </c>
      <c r="K25" s="104">
        <f t="shared" si="1"/>
        <v>0</v>
      </c>
      <c r="L25" s="58" t="s">
        <v>27</v>
      </c>
    </row>
    <row r="26" spans="1:12" s="16" customFormat="1" ht="36.5" customHeight="1">
      <c r="A26" s="59" t="s">
        <v>57</v>
      </c>
      <c r="B26" s="12" t="s">
        <v>23</v>
      </c>
      <c r="C26" s="13"/>
      <c r="D26" s="59" t="s">
        <v>24</v>
      </c>
      <c r="E26" s="17"/>
      <c r="F26" s="18"/>
      <c r="G26" s="60"/>
      <c r="H26" s="60"/>
      <c r="I26" s="60"/>
      <c r="J26" s="19"/>
      <c r="K26" s="76">
        <f>K4+K18+K24</f>
        <v>0</v>
      </c>
      <c r="L26" s="19"/>
    </row>
    <row r="27" spans="1:12" s="16" customFormat="1" ht="36.5" customHeight="1">
      <c r="A27" s="59" t="s">
        <v>58</v>
      </c>
      <c r="B27" s="20" t="s">
        <v>56</v>
      </c>
      <c r="C27" s="21"/>
      <c r="D27" s="59" t="s">
        <v>24</v>
      </c>
      <c r="E27" s="17"/>
      <c r="F27" s="18"/>
      <c r="G27" s="60"/>
      <c r="H27" s="60"/>
      <c r="I27" s="60"/>
      <c r="J27" s="87">
        <v>1.2E-2</v>
      </c>
      <c r="K27" s="77">
        <f>K26*J27</f>
        <v>0</v>
      </c>
      <c r="L27" s="19"/>
    </row>
    <row r="28" spans="1:12" s="16" customFormat="1" ht="36.5" customHeight="1">
      <c r="A28" s="59" t="s">
        <v>59</v>
      </c>
      <c r="B28" s="20" t="s">
        <v>51</v>
      </c>
      <c r="C28" s="21"/>
      <c r="D28" s="59" t="s">
        <v>24</v>
      </c>
      <c r="E28" s="17"/>
      <c r="F28" s="18"/>
      <c r="G28" s="60"/>
      <c r="H28" s="60"/>
      <c r="I28" s="60"/>
      <c r="J28" s="87">
        <v>0.02</v>
      </c>
      <c r="K28" s="77">
        <f>(K26+K27)*J28</f>
        <v>0</v>
      </c>
      <c r="L28" s="19"/>
    </row>
    <row r="29" spans="1:12" s="16" customFormat="1" ht="36.5" customHeight="1">
      <c r="A29" s="59" t="s">
        <v>60</v>
      </c>
      <c r="B29" s="20" t="s">
        <v>52</v>
      </c>
      <c r="C29" s="21"/>
      <c r="D29" s="59" t="s">
        <v>24</v>
      </c>
      <c r="E29" s="17"/>
      <c r="F29" s="18"/>
      <c r="G29" s="60"/>
      <c r="H29" s="60"/>
      <c r="I29" s="60"/>
      <c r="J29" s="87">
        <v>0.03</v>
      </c>
      <c r="K29" s="77">
        <f>(K26+K27+K28)*J29</f>
        <v>0</v>
      </c>
      <c r="L29" s="19"/>
    </row>
    <row r="30" spans="1:12" s="16" customFormat="1" ht="36.5" customHeight="1">
      <c r="A30" s="59" t="s">
        <v>61</v>
      </c>
      <c r="B30" s="20" t="s">
        <v>53</v>
      </c>
      <c r="C30" s="21"/>
      <c r="D30" s="59" t="s">
        <v>24</v>
      </c>
      <c r="E30" s="17"/>
      <c r="F30" s="18"/>
      <c r="G30" s="60"/>
      <c r="H30" s="60"/>
      <c r="I30" s="60"/>
      <c r="J30" s="22">
        <v>0.09</v>
      </c>
      <c r="K30" s="77">
        <f>(K26+K27+K28+K29)*J30</f>
        <v>0</v>
      </c>
      <c r="L30" s="19"/>
    </row>
    <row r="31" spans="1:12" s="16" customFormat="1" ht="32.5" customHeight="1">
      <c r="A31" s="59" t="s">
        <v>62</v>
      </c>
      <c r="B31" s="12" t="s">
        <v>54</v>
      </c>
      <c r="C31" s="13"/>
      <c r="D31" s="59" t="s">
        <v>24</v>
      </c>
      <c r="E31" s="17"/>
      <c r="F31" s="18"/>
      <c r="G31" s="60"/>
      <c r="H31" s="60"/>
      <c r="I31" s="60"/>
      <c r="J31" s="19"/>
      <c r="K31" s="78">
        <f>K4+K27+K28+K29+K30</f>
        <v>0</v>
      </c>
      <c r="L31" s="19"/>
    </row>
    <row r="32" spans="1:12" ht="39" customHeight="1">
      <c r="A32" s="107" t="s">
        <v>236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8"/>
      <c r="L32" s="107"/>
    </row>
  </sheetData>
  <mergeCells count="11">
    <mergeCell ref="L5:L12"/>
    <mergeCell ref="A32:L32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honeticPr fontId="5" type="noConversion"/>
  <pageMargins left="0.109722222222222" right="0.109722222222222" top="0.55486111111111103" bottom="0.35763888888888901" header="0.29861111111111099" footer="0.29861111111111099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view="pageBreakPreview" zoomScale="90" zoomScaleNormal="100" zoomScaleSheetLayoutView="90" workbookViewId="0">
      <pane xSplit="4" ySplit="4" topLeftCell="E15" activePane="bottomRight" state="frozen"/>
      <selection pane="topRight"/>
      <selection pane="bottomLeft"/>
      <selection pane="bottomRight" activeCell="H4" sqref="H4"/>
    </sheetView>
  </sheetViews>
  <sheetFormatPr defaultColWidth="9" defaultRowHeight="18" customHeight="1"/>
  <cols>
    <col min="1" max="1" width="5.25" style="23" customWidth="1"/>
    <col min="2" max="2" width="13" style="24" customWidth="1"/>
    <col min="3" max="3" width="41.58203125" style="23" customWidth="1"/>
    <col min="4" max="4" width="4.9140625" style="23" customWidth="1"/>
    <col min="5" max="5" width="8.4140625" style="25" customWidth="1"/>
    <col min="6" max="6" width="10.6640625" style="26" customWidth="1"/>
    <col min="7" max="7" width="9.9140625" style="23" customWidth="1"/>
    <col min="8" max="8" width="9.1640625" style="23" customWidth="1"/>
    <col min="9" max="10" width="10.6640625" style="23" customWidth="1"/>
    <col min="11" max="11" width="12.4140625" style="79" customWidth="1"/>
    <col min="12" max="12" width="31.4140625" style="23" customWidth="1"/>
    <col min="13" max="16384" width="9" style="8"/>
  </cols>
  <sheetData>
    <row r="1" spans="1:12" ht="18" customHeight="1">
      <c r="A1" s="110" t="s">
        <v>144</v>
      </c>
      <c r="B1" s="111"/>
      <c r="C1" s="110"/>
      <c r="D1" s="110"/>
      <c r="E1" s="110"/>
      <c r="F1" s="110"/>
      <c r="G1" s="110"/>
      <c r="H1" s="110"/>
      <c r="I1" s="110"/>
      <c r="J1" s="110"/>
      <c r="K1" s="112"/>
      <c r="L1" s="110"/>
    </row>
    <row r="2" spans="1:12" ht="28.5" customHeight="1">
      <c r="A2" s="113" t="s">
        <v>0</v>
      </c>
      <c r="B2" s="106" t="s">
        <v>6</v>
      </c>
      <c r="C2" s="106" t="s">
        <v>7</v>
      </c>
      <c r="D2" s="113" t="s">
        <v>8</v>
      </c>
      <c r="E2" s="109" t="s">
        <v>9</v>
      </c>
      <c r="F2" s="109" t="s">
        <v>10</v>
      </c>
      <c r="G2" s="109"/>
      <c r="H2" s="109"/>
      <c r="I2" s="109"/>
      <c r="J2" s="109"/>
      <c r="K2" s="114" t="s">
        <v>11</v>
      </c>
      <c r="L2" s="113" t="s">
        <v>3</v>
      </c>
    </row>
    <row r="3" spans="1:12" ht="45" customHeight="1">
      <c r="A3" s="113"/>
      <c r="B3" s="106"/>
      <c r="C3" s="106"/>
      <c r="D3" s="113"/>
      <c r="E3" s="109"/>
      <c r="F3" s="10" t="s">
        <v>193</v>
      </c>
      <c r="G3" s="10" t="s">
        <v>12</v>
      </c>
      <c r="H3" s="10" t="s">
        <v>13</v>
      </c>
      <c r="I3" s="10" t="s">
        <v>14</v>
      </c>
      <c r="J3" s="10" t="s">
        <v>15</v>
      </c>
      <c r="K3" s="114"/>
      <c r="L3" s="113"/>
    </row>
    <row r="4" spans="1:12" ht="27" customHeight="1">
      <c r="A4" s="59" t="s">
        <v>16</v>
      </c>
      <c r="B4" s="12" t="s">
        <v>17</v>
      </c>
      <c r="C4" s="13"/>
      <c r="D4" s="59"/>
      <c r="E4" s="14"/>
      <c r="F4" s="60"/>
      <c r="G4" s="60"/>
      <c r="H4" s="60"/>
      <c r="I4" s="60"/>
      <c r="J4" s="60"/>
      <c r="K4" s="104">
        <f>SUM(K5:K11)</f>
        <v>0</v>
      </c>
      <c r="L4" s="59"/>
    </row>
    <row r="5" spans="1:12" ht="79.5" customHeight="1">
      <c r="A5" s="59">
        <v>1</v>
      </c>
      <c r="B5" s="27" t="s">
        <v>42</v>
      </c>
      <c r="C5" s="27" t="s">
        <v>78</v>
      </c>
      <c r="D5" s="59" t="s">
        <v>18</v>
      </c>
      <c r="E5" s="14">
        <v>16.559000000000001</v>
      </c>
      <c r="F5" s="86"/>
      <c r="G5" s="86"/>
      <c r="H5" s="86"/>
      <c r="I5" s="86"/>
      <c r="J5" s="60">
        <f>SUM(F5:I5)</f>
        <v>0</v>
      </c>
      <c r="K5" s="104">
        <f>J5*E5</f>
        <v>0</v>
      </c>
      <c r="L5" s="106" t="s">
        <v>19</v>
      </c>
    </row>
    <row r="6" spans="1:12" ht="82" customHeight="1">
      <c r="A6" s="59">
        <v>2</v>
      </c>
      <c r="B6" s="27" t="s">
        <v>145</v>
      </c>
      <c r="C6" s="27" t="s">
        <v>146</v>
      </c>
      <c r="D6" s="59" t="s">
        <v>18</v>
      </c>
      <c r="E6" s="61">
        <v>5.6980000000000004</v>
      </c>
      <c r="F6" s="86"/>
      <c r="G6" s="86"/>
      <c r="H6" s="86"/>
      <c r="I6" s="86"/>
      <c r="J6" s="60">
        <f>SUM(F6:I6)</f>
        <v>0</v>
      </c>
      <c r="K6" s="104">
        <f t="shared" ref="K6:K11" si="0">J6*E6</f>
        <v>0</v>
      </c>
      <c r="L6" s="106"/>
    </row>
    <row r="7" spans="1:12" ht="78.5" customHeight="1">
      <c r="A7" s="59">
        <v>3</v>
      </c>
      <c r="B7" s="12" t="s">
        <v>156</v>
      </c>
      <c r="C7" s="12" t="s">
        <v>80</v>
      </c>
      <c r="D7" s="59" t="s">
        <v>18</v>
      </c>
      <c r="E7" s="14">
        <v>40.250999999999998</v>
      </c>
      <c r="F7" s="86"/>
      <c r="G7" s="86"/>
      <c r="H7" s="86"/>
      <c r="I7" s="86"/>
      <c r="J7" s="60">
        <f t="shared" ref="J7:J10" si="1">SUM(F7:I7)</f>
        <v>0</v>
      </c>
      <c r="K7" s="104">
        <f t="shared" si="0"/>
        <v>0</v>
      </c>
      <c r="L7" s="106"/>
    </row>
    <row r="8" spans="1:12" ht="86" customHeight="1">
      <c r="A8" s="59">
        <v>4</v>
      </c>
      <c r="B8" s="12" t="s">
        <v>98</v>
      </c>
      <c r="C8" s="12" t="s">
        <v>99</v>
      </c>
      <c r="D8" s="59" t="s">
        <v>18</v>
      </c>
      <c r="E8" s="14">
        <v>1.901</v>
      </c>
      <c r="F8" s="86"/>
      <c r="G8" s="86"/>
      <c r="H8" s="86"/>
      <c r="I8" s="86"/>
      <c r="J8" s="86">
        <f t="shared" si="1"/>
        <v>0</v>
      </c>
      <c r="K8" s="104">
        <f t="shared" si="0"/>
        <v>0</v>
      </c>
      <c r="L8" s="106"/>
    </row>
    <row r="9" spans="1:12" ht="49.5" customHeight="1">
      <c r="A9" s="59">
        <v>5</v>
      </c>
      <c r="B9" s="12" t="s">
        <v>43</v>
      </c>
      <c r="C9" s="12" t="s">
        <v>201</v>
      </c>
      <c r="D9" s="59" t="s">
        <v>18</v>
      </c>
      <c r="E9" s="14">
        <f>E5+E6</f>
        <v>22.257000000000001</v>
      </c>
      <c r="F9" s="86"/>
      <c r="G9" s="86"/>
      <c r="H9" s="86"/>
      <c r="I9" s="86"/>
      <c r="J9" s="60">
        <f t="shared" si="1"/>
        <v>0</v>
      </c>
      <c r="K9" s="104">
        <f t="shared" si="0"/>
        <v>0</v>
      </c>
      <c r="L9" s="58" t="s">
        <v>21</v>
      </c>
    </row>
    <row r="10" spans="1:12" ht="48.5" customHeight="1">
      <c r="A10" s="59">
        <v>6</v>
      </c>
      <c r="B10" s="12" t="s">
        <v>44</v>
      </c>
      <c r="C10" s="12" t="s">
        <v>202</v>
      </c>
      <c r="D10" s="59" t="s">
        <v>18</v>
      </c>
      <c r="E10" s="14">
        <f>E7</f>
        <v>40.250999999999998</v>
      </c>
      <c r="F10" s="86"/>
      <c r="G10" s="86"/>
      <c r="H10" s="86"/>
      <c r="I10" s="86"/>
      <c r="J10" s="60">
        <f t="shared" si="1"/>
        <v>0</v>
      </c>
      <c r="K10" s="104">
        <f t="shared" si="0"/>
        <v>0</v>
      </c>
      <c r="L10" s="58" t="s">
        <v>21</v>
      </c>
    </row>
    <row r="11" spans="1:12" ht="48.5" customHeight="1">
      <c r="A11" s="90">
        <v>7</v>
      </c>
      <c r="B11" s="12" t="s">
        <v>142</v>
      </c>
      <c r="C11" s="12" t="s">
        <v>204</v>
      </c>
      <c r="D11" s="90" t="s">
        <v>18</v>
      </c>
      <c r="E11" s="14">
        <f>E8</f>
        <v>1.901</v>
      </c>
      <c r="F11" s="89"/>
      <c r="G11" s="89"/>
      <c r="H11" s="89"/>
      <c r="I11" s="89"/>
      <c r="J11" s="89">
        <f t="shared" ref="J11" si="2">SUM(F11:I11)</f>
        <v>0</v>
      </c>
      <c r="K11" s="104">
        <f t="shared" si="0"/>
        <v>0</v>
      </c>
      <c r="L11" s="88" t="s">
        <v>21</v>
      </c>
    </row>
    <row r="12" spans="1:12" s="16" customFormat="1" ht="36.5" customHeight="1">
      <c r="A12" s="59" t="s">
        <v>209</v>
      </c>
      <c r="B12" s="12" t="s">
        <v>23</v>
      </c>
      <c r="C12" s="13"/>
      <c r="D12" s="59" t="s">
        <v>24</v>
      </c>
      <c r="E12" s="17"/>
      <c r="F12" s="18"/>
      <c r="G12" s="60"/>
      <c r="H12" s="60"/>
      <c r="I12" s="60"/>
      <c r="J12" s="19"/>
      <c r="K12" s="76">
        <f>K4</f>
        <v>0</v>
      </c>
      <c r="L12" s="19"/>
    </row>
    <row r="13" spans="1:12" s="16" customFormat="1" ht="36.5" customHeight="1">
      <c r="A13" s="59" t="s">
        <v>157</v>
      </c>
      <c r="B13" s="20" t="s">
        <v>56</v>
      </c>
      <c r="C13" s="21"/>
      <c r="D13" s="59" t="s">
        <v>24</v>
      </c>
      <c r="E13" s="17"/>
      <c r="F13" s="18"/>
      <c r="G13" s="60"/>
      <c r="H13" s="60"/>
      <c r="I13" s="60"/>
      <c r="J13" s="87">
        <v>1.2E-2</v>
      </c>
      <c r="K13" s="77">
        <f>K12*J13</f>
        <v>0</v>
      </c>
      <c r="L13" s="19"/>
    </row>
    <row r="14" spans="1:12" s="16" customFormat="1" ht="36.5" customHeight="1">
      <c r="A14" s="59" t="s">
        <v>210</v>
      </c>
      <c r="B14" s="20" t="s">
        <v>51</v>
      </c>
      <c r="C14" s="21"/>
      <c r="D14" s="59" t="s">
        <v>24</v>
      </c>
      <c r="E14" s="17"/>
      <c r="F14" s="18"/>
      <c r="G14" s="60"/>
      <c r="H14" s="60"/>
      <c r="I14" s="60"/>
      <c r="J14" s="87">
        <v>0.02</v>
      </c>
      <c r="K14" s="77">
        <f>(K12+K13)*J14</f>
        <v>0</v>
      </c>
      <c r="L14" s="19"/>
    </row>
    <row r="15" spans="1:12" s="16" customFormat="1" ht="36.5" customHeight="1">
      <c r="A15" s="59" t="s">
        <v>58</v>
      </c>
      <c r="B15" s="20" t="s">
        <v>52</v>
      </c>
      <c r="C15" s="21"/>
      <c r="D15" s="59" t="s">
        <v>24</v>
      </c>
      <c r="E15" s="17"/>
      <c r="F15" s="18"/>
      <c r="G15" s="60"/>
      <c r="H15" s="60"/>
      <c r="I15" s="60"/>
      <c r="J15" s="87">
        <v>0.03</v>
      </c>
      <c r="K15" s="77">
        <f>(K12+K13+K14)*J15</f>
        <v>0</v>
      </c>
      <c r="L15" s="19"/>
    </row>
    <row r="16" spans="1:12" s="16" customFormat="1" ht="36.5" customHeight="1">
      <c r="A16" s="59" t="s">
        <v>59</v>
      </c>
      <c r="B16" s="20" t="s">
        <v>53</v>
      </c>
      <c r="C16" s="21"/>
      <c r="D16" s="59" t="s">
        <v>24</v>
      </c>
      <c r="E16" s="17"/>
      <c r="F16" s="18"/>
      <c r="G16" s="60"/>
      <c r="H16" s="60"/>
      <c r="I16" s="60"/>
      <c r="J16" s="22">
        <v>0.09</v>
      </c>
      <c r="K16" s="77">
        <f>(K12+K13+K14+K15)*J16</f>
        <v>0</v>
      </c>
      <c r="L16" s="19"/>
    </row>
    <row r="17" spans="1:12" s="16" customFormat="1" ht="32.5" customHeight="1">
      <c r="A17" s="59" t="s">
        <v>211</v>
      </c>
      <c r="B17" s="12" t="s">
        <v>54</v>
      </c>
      <c r="C17" s="13"/>
      <c r="D17" s="59" t="s">
        <v>24</v>
      </c>
      <c r="E17" s="17"/>
      <c r="F17" s="18"/>
      <c r="G17" s="60"/>
      <c r="H17" s="60"/>
      <c r="I17" s="60"/>
      <c r="J17" s="19"/>
      <c r="K17" s="78">
        <f>K4+K13+K14+K15+K16</f>
        <v>0</v>
      </c>
      <c r="L17" s="19"/>
    </row>
    <row r="18" spans="1:12" ht="39" customHeight="1">
      <c r="A18" s="107" t="s">
        <v>236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8"/>
      <c r="L18" s="107"/>
    </row>
  </sheetData>
  <mergeCells count="11">
    <mergeCell ref="L5:L8"/>
    <mergeCell ref="A18:L18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honeticPr fontId="5" type="noConversion"/>
  <pageMargins left="0.109722222222222" right="0.109722222222222" top="0.55486111111111103" bottom="0.35763888888888901" header="0.29861111111111099" footer="0.29861111111111099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13</vt:i4>
      </vt:variant>
    </vt:vector>
  </HeadingPairs>
  <TitlesOfParts>
    <vt:vector size="21" baseType="lpstr">
      <vt:lpstr>合计</vt:lpstr>
      <vt:lpstr>车间2</vt:lpstr>
      <vt:lpstr>车间3</vt:lpstr>
      <vt:lpstr>车间3门窗</vt:lpstr>
      <vt:lpstr>车间4</vt:lpstr>
      <vt:lpstr>研发车间</vt:lpstr>
      <vt:lpstr>独立辅房</vt:lpstr>
      <vt:lpstr>门卫</vt:lpstr>
      <vt:lpstr>车间2!Print_Area</vt:lpstr>
      <vt:lpstr>车间3!Print_Area</vt:lpstr>
      <vt:lpstr>车间4!Print_Area</vt:lpstr>
      <vt:lpstr>独立辅房!Print_Area</vt:lpstr>
      <vt:lpstr>合计!Print_Area</vt:lpstr>
      <vt:lpstr>门卫!Print_Area</vt:lpstr>
      <vt:lpstr>研发车间!Print_Area</vt:lpstr>
      <vt:lpstr>车间2!Print_Titles</vt:lpstr>
      <vt:lpstr>车间3!Print_Titles</vt:lpstr>
      <vt:lpstr>车间4!Print_Titles</vt:lpstr>
      <vt:lpstr>独立辅房!Print_Titles</vt:lpstr>
      <vt:lpstr>门卫!Print_Titles</vt:lpstr>
      <vt:lpstr>研发车间!Print_Titles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</dc:creator>
  <cp:lastModifiedBy>kd</cp:lastModifiedBy>
  <cp:lastPrinted>2022-07-19T03:14:45Z</cp:lastPrinted>
  <dcterms:created xsi:type="dcterms:W3CDTF">2015-06-05T18:19:00Z</dcterms:created>
  <dcterms:modified xsi:type="dcterms:W3CDTF">2023-01-13T07:09:08Z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757457CCA77242079089BD3CF6CD0F84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eyJoZGlkIjoiNTM2YWY1MzczN2Q1OTZlOGU1YmQwYWQ2YjQ4ZTJkNDYifQ==</vt:lpwstr>
  </property>
</Properties>
</file>